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autoCompressPictures="0"/>
  <mc:AlternateContent xmlns:mc="http://schemas.openxmlformats.org/markup-compatibility/2006">
    <mc:Choice Requires="x15">
      <x15ac:absPath xmlns:x15ac="http://schemas.microsoft.com/office/spreadsheetml/2010/11/ac" url="\\orch\orag\DATEN\TRANSFER\PD\Umweltrichtliien\CMTR\"/>
    </mc:Choice>
  </mc:AlternateContent>
  <xr:revisionPtr revIDLastSave="0" documentId="8_{96F5CC65-8D80-4C30-B63C-C456619CBA72}"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108" yWindow="-108" windowWidth="30936" windowHeight="16896"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5" i="5" l="1"/>
  <c r="P3" i="4"/>
  <c r="C4" i="5"/>
  <c r="D4" i="5"/>
  <c r="E4" i="5"/>
  <c r="X19" i="5"/>
  <c r="X25" i="5"/>
  <c r="X26" i="5"/>
  <c r="X27" i="5"/>
  <c r="X29" i="5"/>
  <c r="X30" i="5"/>
  <c r="X31" i="5"/>
  <c r="X33" i="5"/>
  <c r="X39" i="5"/>
  <c r="X41" i="5"/>
  <c r="X45" i="5"/>
  <c r="X49" i="5"/>
  <c r="X51" i="5"/>
  <c r="X53" i="5"/>
  <c r="X57" i="5"/>
  <c r="X59" i="5"/>
  <c r="X61" i="5"/>
  <c r="X63" i="5"/>
  <c r="X65" i="5"/>
  <c r="X69" i="5"/>
  <c r="X73" i="5"/>
  <c r="X74" i="5"/>
  <c r="X77" i="5"/>
  <c r="X79" i="5"/>
  <c r="X81" i="5"/>
  <c r="X83" i="5"/>
  <c r="X85" i="5"/>
  <c r="X89" i="5"/>
  <c r="X93" i="5"/>
  <c r="X94" i="5"/>
  <c r="X95" i="5"/>
  <c r="X97" i="5"/>
  <c r="X99" i="5"/>
  <c r="X101" i="5"/>
  <c r="X105" i="5"/>
  <c r="X107" i="5"/>
  <c r="X109" i="5"/>
  <c r="X111" i="5"/>
  <c r="X113" i="5"/>
  <c r="X117" i="5"/>
  <c r="X119" i="5"/>
  <c r="X123" i="5"/>
  <c r="X125" i="5"/>
  <c r="X127" i="5"/>
  <c r="X129" i="5"/>
  <c r="X131" i="5"/>
  <c r="X133" i="5"/>
  <c r="X135" i="5"/>
  <c r="X137" i="5"/>
  <c r="X139" i="5"/>
  <c r="X141" i="5"/>
  <c r="X143" i="5"/>
  <c r="X145" i="5"/>
  <c r="X147" i="5"/>
  <c r="X150" i="5"/>
  <c r="X153" i="5"/>
  <c r="X157" i="5"/>
  <c r="X161" i="5"/>
  <c r="X166" i="5"/>
  <c r="X169" i="5"/>
  <c r="X170" i="5"/>
  <c r="X171" i="5"/>
  <c r="X173" i="5"/>
  <c r="X177" i="5"/>
  <c r="X181" i="5"/>
  <c r="X185" i="5"/>
  <c r="X187" i="5"/>
  <c r="X190" i="5"/>
  <c r="X193" i="5"/>
  <c r="X195" i="5"/>
  <c r="X197" i="5"/>
  <c r="X199" i="5"/>
  <c r="X203" i="5"/>
  <c r="X205" i="5"/>
  <c r="X209" i="5"/>
  <c r="X210" i="5"/>
  <c r="X213" i="5"/>
  <c r="X219" i="5"/>
  <c r="X222" i="5"/>
  <c r="X223" i="5"/>
  <c r="X225" i="5"/>
  <c r="X227" i="5"/>
  <c r="X229" i="5"/>
  <c r="X235" i="5"/>
  <c r="X237" i="5"/>
  <c r="X238" i="5"/>
  <c r="X245" i="5"/>
  <c r="X255" i="5"/>
  <c r="X257" i="5"/>
  <c r="X258" i="5"/>
  <c r="X259" i="5"/>
  <c r="X269" i="5"/>
  <c r="X270" i="5"/>
  <c r="X271" i="5"/>
  <c r="X273" i="5"/>
  <c r="X275" i="5"/>
  <c r="X283" i="5"/>
  <c r="X286" i="5"/>
  <c r="X289" i="5"/>
  <c r="X294" i="5"/>
  <c r="X298" i="5"/>
  <c r="X299" i="5"/>
  <c r="X337" i="5"/>
  <c r="X341" i="5"/>
  <c r="X349" i="5"/>
  <c r="X361" i="5"/>
  <c r="X371" i="5"/>
  <c r="X377" i="5"/>
  <c r="X381" i="5"/>
  <c r="X385" i="5"/>
  <c r="X389" i="5"/>
  <c r="X393" i="5"/>
  <c r="X397" i="5"/>
  <c r="X399" i="5"/>
  <c r="X401" i="5"/>
  <c r="X405" i="5"/>
  <c r="X409" i="5"/>
  <c r="X413" i="5"/>
  <c r="X417" i="5"/>
  <c r="X421" i="5"/>
  <c r="X425" i="5"/>
  <c r="X429" i="5"/>
  <c r="X433" i="5"/>
  <c r="X437" i="5"/>
  <c r="X441" i="5"/>
  <c r="X445" i="5"/>
  <c r="X449" i="5"/>
  <c r="X453" i="5"/>
  <c r="X457" i="5"/>
  <c r="X461" i="5"/>
  <c r="X470" i="5"/>
  <c r="X471" i="5"/>
  <c r="X478" i="5"/>
  <c r="X479" i="5"/>
  <c r="X491" i="5"/>
  <c r="X494" i="5"/>
  <c r="X495" i="5"/>
  <c r="X515" i="5"/>
  <c r="X519" i="5"/>
  <c r="X523" i="5"/>
  <c r="X526" i="5"/>
  <c r="X531" i="5"/>
  <c r="X539" i="5"/>
  <c r="X543" i="5"/>
  <c r="X551" i="5"/>
  <c r="X563" i="5"/>
  <c r="X566" i="5"/>
  <c r="X570" i="5"/>
  <c r="X582" i="5"/>
  <c r="X586" i="5"/>
  <c r="X590" i="5"/>
  <c r="X598" i="5"/>
  <c r="X610" i="5"/>
  <c r="X614" i="5"/>
  <c r="X622" i="5"/>
  <c r="X626" i="5"/>
  <c r="X642" i="5"/>
  <c r="X654" i="5"/>
  <c r="X658" i="5"/>
  <c r="X674" i="5"/>
  <c r="X681" i="5"/>
  <c r="X682" i="5"/>
  <c r="X683" i="5"/>
  <c r="X685" i="5"/>
  <c r="X686" i="5"/>
  <c r="X689" i="5"/>
  <c r="X690" i="5"/>
  <c r="X693" i="5"/>
  <c r="X694" i="5"/>
  <c r="X697" i="5"/>
  <c r="X698" i="5"/>
  <c r="X699" i="5"/>
  <c r="X701" i="5"/>
  <c r="X702" i="5"/>
  <c r="X705" i="5"/>
  <c r="X706" i="5"/>
  <c r="X707" i="5"/>
  <c r="X709" i="5"/>
  <c r="X713" i="5"/>
  <c r="X714" i="5"/>
  <c r="X715" i="5"/>
  <c r="X721" i="5"/>
  <c r="X722" i="5"/>
  <c r="X723" i="5"/>
  <c r="X725" i="5"/>
  <c r="X726" i="5"/>
  <c r="X727" i="5"/>
  <c r="X729" i="5"/>
  <c r="X731" i="5"/>
  <c r="X733" i="5"/>
  <c r="X734" i="5"/>
  <c r="X735" i="5"/>
  <c r="X737" i="5"/>
  <c r="X741" i="5"/>
  <c r="X742" i="5"/>
  <c r="X743" i="5"/>
  <c r="X745" i="5"/>
  <c r="X746" i="5"/>
  <c r="X747" i="5"/>
  <c r="X751" i="5"/>
  <c r="X753" i="5"/>
  <c r="X755" i="5"/>
  <c r="X759" i="5"/>
  <c r="X761" i="5"/>
  <c r="X765" i="5"/>
  <c r="X769" i="5"/>
  <c r="X773" i="5"/>
  <c r="X777" i="5"/>
  <c r="X778" i="5"/>
  <c r="X779" i="5"/>
  <c r="X781" i="5"/>
  <c r="X782" i="5"/>
  <c r="X785" i="5"/>
  <c r="X786" i="5"/>
  <c r="X787" i="5"/>
  <c r="X789" i="5"/>
  <c r="X791" i="5"/>
  <c r="X793" i="5"/>
  <c r="X795" i="5"/>
  <c r="X797" i="5"/>
  <c r="X798" i="5"/>
  <c r="X801" i="5"/>
  <c r="X802" i="5"/>
  <c r="X803" i="5"/>
  <c r="X805" i="5"/>
  <c r="X809" i="5"/>
  <c r="X813" i="5"/>
  <c r="X819" i="5"/>
  <c r="X821" i="5"/>
  <c r="X822" i="5"/>
  <c r="X825" i="5"/>
  <c r="X827" i="5"/>
  <c r="X830" i="5"/>
  <c r="X834" i="5"/>
  <c r="X835" i="5"/>
  <c r="X838" i="5"/>
  <c r="X843" i="5"/>
  <c r="X846" i="5"/>
  <c r="X850" i="5"/>
  <c r="X851" i="5"/>
  <c r="X857" i="5"/>
  <c r="X861" i="5"/>
  <c r="X865" i="5"/>
  <c r="X873" i="5"/>
  <c r="X877" i="5"/>
  <c r="X881" i="5"/>
  <c r="X883" i="5"/>
  <c r="X885" i="5"/>
  <c r="X887" i="5"/>
  <c r="X889" i="5"/>
  <c r="X893" i="5"/>
  <c r="X894" i="5"/>
  <c r="X897" i="5"/>
  <c r="X899" i="5"/>
  <c r="X901" i="5"/>
  <c r="X905" i="5"/>
  <c r="X909" i="5"/>
  <c r="X910" i="5"/>
  <c r="X913" i="5"/>
  <c r="X917" i="5"/>
  <c r="X921" i="5"/>
  <c r="X922" i="5"/>
  <c r="X925" i="5"/>
  <c r="X926" i="5"/>
  <c r="X929" i="5"/>
  <c r="X933" i="5"/>
  <c r="X934" i="5"/>
  <c r="X935" i="5"/>
  <c r="X937" i="5"/>
  <c r="X938" i="5"/>
  <c r="X939" i="5"/>
  <c r="X941" i="5"/>
  <c r="X943" i="5"/>
  <c r="X945" i="5"/>
  <c r="X949" i="5"/>
  <c r="X951" i="5"/>
  <c r="X953" i="5"/>
  <c r="X957" i="5"/>
  <c r="X959" i="5"/>
  <c r="X961" i="5"/>
  <c r="X962" i="5"/>
  <c r="X963" i="5"/>
  <c r="X965" i="5"/>
  <c r="X966" i="5"/>
  <c r="X969" i="5"/>
  <c r="X973" i="5"/>
  <c r="X975" i="5"/>
  <c r="X981" i="5"/>
  <c r="X986" i="5"/>
  <c r="X993" i="5"/>
  <c r="X994" i="5"/>
  <c r="X997" i="5"/>
  <c r="X1001" i="5"/>
  <c r="X1002" i="5"/>
  <c r="X1006" i="5"/>
  <c r="X1009" i="5"/>
  <c r="X1013" i="5"/>
  <c r="X1018" i="5"/>
  <c r="X1019" i="5"/>
  <c r="X1022" i="5"/>
  <c r="X1023" i="5"/>
  <c r="X1025" i="5"/>
  <c r="X1029" i="5"/>
  <c r="X1034" i="5"/>
  <c r="X1037" i="5"/>
  <c r="X1041" i="5"/>
  <c r="X1043" i="5"/>
  <c r="X1045" i="5"/>
  <c r="X1046" i="5"/>
  <c r="X1050" i="5"/>
  <c r="X1053" i="5"/>
  <c r="X1054" i="5"/>
  <c r="X1057" i="5"/>
  <c r="X1058" i="5"/>
  <c r="X1059" i="5"/>
  <c r="X1061" i="5"/>
  <c r="X1066" i="5"/>
  <c r="X1069" i="5"/>
  <c r="X1070" i="5"/>
  <c r="X1073" i="5"/>
  <c r="X1077" i="5"/>
  <c r="X1082" i="5"/>
  <c r="X1085" i="5"/>
  <c r="X1087" i="5"/>
  <c r="X1089" i="5"/>
  <c r="X1093" i="5"/>
  <c r="X1101" i="5"/>
  <c r="X1102" i="5"/>
  <c r="X1103" i="5"/>
  <c r="X1105" i="5"/>
  <c r="X1106" i="5"/>
  <c r="X1109" i="5"/>
  <c r="X1111" i="5"/>
  <c r="X1117" i="5"/>
  <c r="X1119" i="5"/>
  <c r="X1121" i="5"/>
  <c r="X1122" i="5"/>
  <c r="X1125" i="5"/>
  <c r="X1126" i="5"/>
  <c r="X1127" i="5"/>
  <c r="X1130" i="5"/>
  <c r="X1139" i="5"/>
  <c r="X1142" i="5"/>
  <c r="X1143" i="5"/>
  <c r="X1149" i="5"/>
  <c r="X1157" i="5"/>
  <c r="X1161" i="5"/>
  <c r="X1163" i="5"/>
  <c r="X1165" i="5"/>
  <c r="X1166" i="5"/>
  <c r="X1169" i="5"/>
  <c r="X1173" i="5"/>
  <c r="X1177" i="5"/>
  <c r="X1182" i="5"/>
  <c r="X1185" i="5"/>
  <c r="X1187" i="5"/>
  <c r="X1189" i="5"/>
  <c r="X1197" i="5"/>
  <c r="X1199" i="5"/>
  <c r="X1201" i="5"/>
  <c r="X1205" i="5"/>
  <c r="X1209" i="5"/>
  <c r="X1213" i="5"/>
  <c r="X1217" i="5"/>
  <c r="X1219" i="5"/>
  <c r="X1221" i="5"/>
  <c r="X1225" i="5"/>
  <c r="X1227" i="5"/>
  <c r="X1229" i="5"/>
  <c r="X1233" i="5"/>
  <c r="X1237" i="5"/>
  <c r="X1241" i="5"/>
  <c r="X1245" i="5"/>
  <c r="X1249" i="5"/>
  <c r="X1250" i="5"/>
  <c r="X1257" i="5"/>
  <c r="X1261" i="5"/>
  <c r="X1269" i="5"/>
  <c r="X1273" i="5"/>
  <c r="X1277" i="5"/>
  <c r="X1281" i="5"/>
  <c r="X1285" i="5"/>
  <c r="X1289" i="5"/>
  <c r="X1293" i="5"/>
  <c r="X1301" i="5"/>
  <c r="X1305" i="5"/>
  <c r="X1309" i="5"/>
  <c r="X1321" i="5"/>
  <c r="X1333" i="5"/>
  <c r="X1337" i="5"/>
  <c r="X1341" i="5"/>
  <c r="X1342" i="5"/>
  <c r="X1345" i="5"/>
  <c r="X1349" i="5"/>
  <c r="X1351" i="5"/>
  <c r="X1353" i="5"/>
  <c r="X1357" i="5"/>
  <c r="X1361" i="5"/>
  <c r="X1365" i="5"/>
  <c r="X1369" i="5"/>
  <c r="X1373" i="5"/>
  <c r="X1377" i="5"/>
  <c r="X1387" i="5"/>
  <c r="X1389" i="5"/>
  <c r="X1393" i="5"/>
  <c r="X1397" i="5"/>
  <c r="X1402" i="5"/>
  <c r="X1418" i="5"/>
  <c r="X1447" i="5"/>
  <c r="X1449" i="5"/>
  <c r="X1451" i="5"/>
  <c r="X1453" i="5"/>
  <c r="X1454" i="5"/>
  <c r="X1458" i="5"/>
  <c r="X1463" i="5"/>
  <c r="X1465" i="5"/>
  <c r="X1466" i="5"/>
  <c r="X1469" i="5"/>
  <c r="X1474" i="5"/>
  <c r="X1475" i="5"/>
  <c r="X1478" i="5"/>
  <c r="X1479" i="5"/>
  <c r="X1481" i="5"/>
  <c r="X1482" i="5"/>
  <c r="X1486" i="5"/>
  <c r="X1487" i="5"/>
  <c r="X1493" i="5"/>
  <c r="X1495" i="5"/>
  <c r="X1497" i="5"/>
  <c r="X1498" i="5"/>
  <c r="X1499" i="5"/>
  <c r="X1502" i="5"/>
  <c r="X1503" i="5"/>
  <c r="X1509" i="5"/>
  <c r="X1511" i="5"/>
  <c r="X1513" i="5"/>
  <c r="X1525" i="5"/>
  <c r="X1529" i="5"/>
  <c r="X1530" i="5"/>
  <c r="X1531" i="5"/>
  <c r="X1535" i="5"/>
  <c r="X1537" i="5"/>
  <c r="X1541" i="5"/>
  <c r="X1542" i="5"/>
  <c r="X1543" i="5"/>
  <c r="X1545" i="5"/>
  <c r="X1549" i="5"/>
  <c r="X1551" i="5"/>
  <c r="X1553" i="5"/>
  <c r="X1557" i="5"/>
  <c r="X1561" i="5"/>
  <c r="X1565" i="5"/>
  <c r="X1569" i="5"/>
  <c r="X1573" i="5"/>
  <c r="X1581" i="5"/>
  <c r="X1585" i="5"/>
  <c r="X1589" i="5"/>
  <c r="X1597" i="5"/>
  <c r="X1601" i="5"/>
  <c r="X1605" i="5"/>
  <c r="X1609" i="5"/>
  <c r="X1613" i="5"/>
  <c r="X1617" i="5"/>
  <c r="X1621" i="5"/>
  <c r="X1625" i="5"/>
  <c r="X1629" i="5"/>
  <c r="X1637" i="5"/>
  <c r="X1641" i="5"/>
  <c r="X1649" i="5"/>
  <c r="X1657" i="5"/>
  <c r="X1661" i="5"/>
  <c r="X1665" i="5"/>
  <c r="X1673" i="5"/>
  <c r="X1677" i="5"/>
  <c r="X1681" i="5"/>
  <c r="X1685" i="5"/>
  <c r="X1689" i="5"/>
  <c r="X1697" i="5"/>
  <c r="X1705" i="5"/>
  <c r="X1709" i="5"/>
  <c r="X1713" i="5"/>
  <c r="X1717" i="5"/>
  <c r="X1721" i="5"/>
  <c r="X1729" i="5"/>
  <c r="X1735" i="5"/>
  <c r="X1737" i="5"/>
  <c r="X1741" i="5"/>
  <c r="X1749" i="5"/>
  <c r="X1753" i="5"/>
  <c r="X1757" i="5"/>
  <c r="X1765" i="5"/>
  <c r="X1769" i="5"/>
  <c r="X1773" i="5"/>
  <c r="X1777" i="5"/>
  <c r="X1781" i="5"/>
  <c r="X1785" i="5"/>
  <c r="X1789" i="5"/>
  <c r="X1793" i="5"/>
  <c r="X1797" i="5"/>
  <c r="X1805" i="5"/>
  <c r="X1813" i="5"/>
  <c r="X1845" i="5"/>
  <c r="X1873" i="5"/>
  <c r="X1877" i="5"/>
  <c r="X1881" i="5"/>
  <c r="X1885" i="5"/>
  <c r="X1889" i="5"/>
  <c r="X1893" i="5"/>
  <c r="X1897" i="5"/>
  <c r="X1901" i="5"/>
  <c r="X1905" i="5"/>
  <c r="X1909" i="5"/>
  <c r="X1913" i="5"/>
  <c r="X1917" i="5"/>
  <c r="X1921" i="5"/>
  <c r="X1925" i="5"/>
  <c r="X1929" i="5"/>
  <c r="X1933" i="5"/>
  <c r="X1937" i="5"/>
  <c r="X1939" i="5"/>
  <c r="X1945" i="5"/>
  <c r="X1949" i="5"/>
  <c r="X1953" i="5"/>
  <c r="X1957" i="5"/>
  <c r="X1961" i="5"/>
  <c r="X1965" i="5"/>
  <c r="X1969" i="5"/>
  <c r="X1973" i="5"/>
  <c r="X1977" i="5"/>
  <c r="X1981" i="5"/>
  <c r="X1985" i="5"/>
  <c r="X1989" i="5"/>
  <c r="X1993" i="5"/>
  <c r="X1997" i="5"/>
  <c r="X2001" i="5"/>
  <c r="X2005" i="5"/>
  <c r="X2009" i="5"/>
  <c r="X2013" i="5"/>
  <c r="X2017" i="5"/>
  <c r="X2021" i="5"/>
  <c r="X2025" i="5"/>
  <c r="X2029" i="5"/>
  <c r="X2033" i="5"/>
  <c r="X2037" i="5"/>
  <c r="X2041" i="5"/>
  <c r="X2045" i="5"/>
  <c r="X2053" i="5"/>
  <c r="X2057" i="5"/>
  <c r="X2061" i="5"/>
  <c r="X2065" i="5"/>
  <c r="X2073" i="5"/>
  <c r="X2081" i="5"/>
  <c r="X2085" i="5"/>
  <c r="X2089" i="5"/>
  <c r="X2093" i="5"/>
  <c r="X2097" i="5"/>
  <c r="X2101" i="5"/>
  <c r="X2105" i="5"/>
  <c r="X2109" i="5"/>
  <c r="X2113" i="5"/>
  <c r="X2117" i="5"/>
  <c r="X2121" i="5"/>
  <c r="X2125" i="5"/>
  <c r="X2129" i="5"/>
  <c r="X2137" i="5"/>
  <c r="X2141" i="5"/>
  <c r="X2145" i="5"/>
  <c r="X2149" i="5"/>
  <c r="X2153" i="5"/>
  <c r="X2157" i="5"/>
  <c r="X2161" i="5"/>
  <c r="X2165" i="5"/>
  <c r="X2169" i="5"/>
  <c r="X2173" i="5"/>
  <c r="X2177" i="5"/>
  <c r="X2181" i="5"/>
  <c r="X2185" i="5"/>
  <c r="X2193" i="5"/>
  <c r="X2201" i="5"/>
  <c r="X2209" i="5"/>
  <c r="X2217" i="5"/>
  <c r="X2218" i="5"/>
  <c r="X2221" i="5"/>
  <c r="X2225" i="5"/>
  <c r="X2229" i="5"/>
  <c r="X2241" i="5"/>
  <c r="X2245" i="5"/>
  <c r="X2249" i="5"/>
  <c r="X2261" i="5"/>
  <c r="X2265" i="5"/>
  <c r="X2273" i="5"/>
  <c r="X2277" i="5"/>
  <c r="X2285" i="5"/>
  <c r="X2289" i="5"/>
  <c r="X2297" i="5"/>
  <c r="X2305" i="5"/>
  <c r="X2309" i="5"/>
  <c r="X2313" i="5"/>
  <c r="X2321" i="5"/>
  <c r="X2329" i="5"/>
  <c r="X2333" i="5"/>
  <c r="X2337" i="5"/>
  <c r="X2338" i="5"/>
  <c r="X2341" i="5"/>
  <c r="X2342" i="5"/>
  <c r="X2345" i="5"/>
  <c r="X2349" i="5"/>
  <c r="X2350" i="5"/>
  <c r="X2351" i="5"/>
  <c r="X2353" i="5"/>
  <c r="X2355" i="5"/>
  <c r="X2357" i="5"/>
  <c r="X2359" i="5"/>
  <c r="X2365" i="5"/>
  <c r="X2373" i="5"/>
  <c r="X2385" i="5"/>
  <c r="X2389" i="5"/>
  <c r="X2393" i="5"/>
  <c r="X2401" i="5"/>
  <c r="X2413" i="5"/>
  <c r="X2421" i="5"/>
  <c r="X2425" i="5"/>
  <c r="X2429" i="5"/>
  <c r="X2433" i="5"/>
  <c r="X2437" i="5"/>
  <c r="X2441" i="5"/>
  <c r="X2443" i="5"/>
  <c r="X2445" i="5"/>
  <c r="X2449" i="5"/>
  <c r="X2453" i="5"/>
  <c r="X2457" i="5"/>
  <c r="X2461" i="5"/>
  <c r="X2469" i="5"/>
  <c r="X2473" i="5"/>
  <c r="X2477" i="5"/>
  <c r="X2481" i="5"/>
  <c r="X2489" i="5"/>
  <c r="V6"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V7" i="5"/>
  <c r="V8" i="5"/>
  <c r="V9" i="5"/>
  <c r="V10" i="5"/>
  <c r="V11" i="5"/>
  <c r="V12" i="5"/>
  <c r="V13" i="5"/>
  <c r="V14" i="5"/>
  <c r="V15" i="5"/>
  <c r="V16" i="5"/>
  <c r="V17" i="5"/>
  <c r="V18" i="5"/>
  <c r="V19" i="5"/>
  <c r="V20" i="5"/>
  <c r="V21" i="5"/>
  <c r="V22" i="5"/>
  <c r="V23" i="5"/>
  <c r="V24" i="5"/>
  <c r="V25" i="5"/>
  <c r="V26" i="5"/>
  <c r="V27" i="5"/>
  <c r="V28" i="5"/>
  <c r="V29" i="5"/>
  <c r="V30" i="5"/>
  <c r="V31" i="5"/>
  <c r="V32" i="5"/>
  <c r="V33" i="5"/>
  <c r="V34" i="5"/>
  <c r="V35" i="5"/>
  <c r="V36" i="5"/>
  <c r="V37" i="5"/>
  <c r="V38" i="5"/>
  <c r="V39" i="5"/>
  <c r="V40" i="5"/>
  <c r="V41" i="5"/>
  <c r="V42" i="5"/>
  <c r="V43" i="5"/>
  <c r="V44" i="5"/>
  <c r="V45" i="5"/>
  <c r="V46" i="5"/>
  <c r="V47" i="5"/>
  <c r="V48" i="5"/>
  <c r="V49" i="5"/>
  <c r="V50" i="5"/>
  <c r="V51" i="5"/>
  <c r="V52" i="5"/>
  <c r="V53" i="5"/>
  <c r="V54" i="5"/>
  <c r="V55" i="5"/>
  <c r="V56" i="5"/>
  <c r="V57" i="5"/>
  <c r="V58" i="5"/>
  <c r="V59" i="5"/>
  <c r="V60" i="5"/>
  <c r="V61" i="5"/>
  <c r="V62" i="5"/>
  <c r="V63" i="5"/>
  <c r="V64" i="5"/>
  <c r="V65" i="5"/>
  <c r="V66" i="5"/>
  <c r="V67" i="5"/>
  <c r="V68" i="5"/>
  <c r="V69" i="5"/>
  <c r="V70" i="5"/>
  <c r="V71" i="5"/>
  <c r="V72" i="5"/>
  <c r="V73" i="5"/>
  <c r="V74" i="5"/>
  <c r="V75" i="5"/>
  <c r="V76" i="5"/>
  <c r="V77" i="5"/>
  <c r="V78" i="5"/>
  <c r="V79" i="5"/>
  <c r="V80" i="5"/>
  <c r="V81" i="5"/>
  <c r="V82" i="5"/>
  <c r="V83" i="5"/>
  <c r="V84" i="5"/>
  <c r="V85" i="5"/>
  <c r="V86" i="5"/>
  <c r="V87" i="5"/>
  <c r="V88" i="5"/>
  <c r="V89" i="5"/>
  <c r="V90" i="5"/>
  <c r="V91" i="5"/>
  <c r="V92" i="5"/>
  <c r="V93" i="5"/>
  <c r="V94" i="5"/>
  <c r="V95" i="5"/>
  <c r="V96" i="5"/>
  <c r="V97" i="5"/>
  <c r="V98" i="5"/>
  <c r="V99" i="5"/>
  <c r="V100" i="5"/>
  <c r="V101" i="5"/>
  <c r="V102" i="5"/>
  <c r="V103" i="5"/>
  <c r="V104" i="5"/>
  <c r="V105" i="5"/>
  <c r="V106" i="5"/>
  <c r="V107" i="5"/>
  <c r="V108" i="5"/>
  <c r="V109" i="5"/>
  <c r="V110" i="5"/>
  <c r="V111" i="5"/>
  <c r="V112" i="5"/>
  <c r="V113" i="5"/>
  <c r="V114" i="5"/>
  <c r="V115" i="5"/>
  <c r="V116" i="5"/>
  <c r="V117" i="5"/>
  <c r="V118" i="5"/>
  <c r="V119" i="5"/>
  <c r="V120" i="5"/>
  <c r="V121" i="5"/>
  <c r="V122" i="5"/>
  <c r="V123" i="5"/>
  <c r="V124" i="5"/>
  <c r="V125" i="5"/>
  <c r="V126" i="5"/>
  <c r="V127" i="5"/>
  <c r="V128" i="5"/>
  <c r="V129" i="5"/>
  <c r="V130" i="5"/>
  <c r="V131" i="5"/>
  <c r="V132" i="5"/>
  <c r="V133" i="5"/>
  <c r="V134" i="5"/>
  <c r="V135" i="5"/>
  <c r="V136" i="5"/>
  <c r="V137" i="5"/>
  <c r="V138" i="5"/>
  <c r="V139" i="5"/>
  <c r="V140" i="5"/>
  <c r="V141" i="5"/>
  <c r="V142" i="5"/>
  <c r="V143" i="5"/>
  <c r="V144" i="5"/>
  <c r="V145" i="5"/>
  <c r="V146" i="5"/>
  <c r="V147" i="5"/>
  <c r="V148" i="5"/>
  <c r="V149" i="5"/>
  <c r="V150" i="5"/>
  <c r="V151" i="5"/>
  <c r="V152" i="5"/>
  <c r="V153" i="5"/>
  <c r="V154" i="5"/>
  <c r="V155" i="5"/>
  <c r="V156" i="5"/>
  <c r="V157" i="5"/>
  <c r="V158" i="5"/>
  <c r="V159" i="5"/>
  <c r="V160" i="5"/>
  <c r="V161" i="5"/>
  <c r="V162" i="5"/>
  <c r="V163" i="5"/>
  <c r="V164" i="5"/>
  <c r="V165" i="5"/>
  <c r="V166" i="5"/>
  <c r="V167" i="5"/>
  <c r="V168" i="5"/>
  <c r="V169" i="5"/>
  <c r="V170" i="5"/>
  <c r="V171" i="5"/>
  <c r="V172" i="5"/>
  <c r="V173" i="5"/>
  <c r="V174" i="5"/>
  <c r="V175" i="5"/>
  <c r="V176" i="5"/>
  <c r="V177" i="5"/>
  <c r="V178" i="5"/>
  <c r="V179" i="5"/>
  <c r="V180" i="5"/>
  <c r="V181" i="5"/>
  <c r="V182" i="5"/>
  <c r="V183" i="5"/>
  <c r="V184" i="5"/>
  <c r="V185" i="5"/>
  <c r="V186" i="5"/>
  <c r="V187" i="5"/>
  <c r="V188" i="5"/>
  <c r="V189" i="5"/>
  <c r="V190" i="5"/>
  <c r="V191" i="5"/>
  <c r="V192" i="5"/>
  <c r="V193" i="5"/>
  <c r="V194" i="5"/>
  <c r="V195" i="5"/>
  <c r="V196" i="5"/>
  <c r="V197" i="5"/>
  <c r="V198" i="5"/>
  <c r="V199" i="5"/>
  <c r="V200" i="5"/>
  <c r="V201" i="5"/>
  <c r="V202" i="5"/>
  <c r="V203" i="5"/>
  <c r="V204" i="5"/>
  <c r="V205" i="5"/>
  <c r="V206" i="5"/>
  <c r="V207" i="5"/>
  <c r="V208" i="5"/>
  <c r="V209" i="5"/>
  <c r="V210" i="5"/>
  <c r="V211" i="5"/>
  <c r="V212" i="5"/>
  <c r="V213" i="5"/>
  <c r="V214" i="5"/>
  <c r="V215" i="5"/>
  <c r="V216" i="5"/>
  <c r="V217" i="5"/>
  <c r="V218" i="5"/>
  <c r="V219" i="5"/>
  <c r="V220" i="5"/>
  <c r="V221" i="5"/>
  <c r="V222" i="5"/>
  <c r="V223" i="5"/>
  <c r="V224" i="5"/>
  <c r="V225" i="5"/>
  <c r="V226" i="5"/>
  <c r="V227" i="5"/>
  <c r="V228" i="5"/>
  <c r="V229" i="5"/>
  <c r="V230" i="5"/>
  <c r="V231" i="5"/>
  <c r="V232" i="5"/>
  <c r="V233" i="5"/>
  <c r="V234" i="5"/>
  <c r="V235" i="5"/>
  <c r="V236" i="5"/>
  <c r="V237" i="5"/>
  <c r="V238" i="5"/>
  <c r="V239" i="5"/>
  <c r="V240" i="5"/>
  <c r="V241" i="5"/>
  <c r="V242" i="5"/>
  <c r="V243" i="5"/>
  <c r="V244" i="5"/>
  <c r="V245" i="5"/>
  <c r="V246" i="5"/>
  <c r="V247" i="5"/>
  <c r="V248" i="5"/>
  <c r="V249" i="5"/>
  <c r="V250" i="5"/>
  <c r="V251" i="5"/>
  <c r="V252" i="5"/>
  <c r="V253" i="5"/>
  <c r="V254" i="5"/>
  <c r="V255" i="5"/>
  <c r="V256" i="5"/>
  <c r="V257" i="5"/>
  <c r="V258" i="5"/>
  <c r="V259" i="5"/>
  <c r="V260" i="5"/>
  <c r="V261" i="5"/>
  <c r="V262" i="5"/>
  <c r="V263" i="5"/>
  <c r="V264" i="5"/>
  <c r="V265" i="5"/>
  <c r="V266" i="5"/>
  <c r="V267" i="5"/>
  <c r="V268" i="5"/>
  <c r="V269" i="5"/>
  <c r="V270" i="5"/>
  <c r="V271" i="5"/>
  <c r="V272" i="5"/>
  <c r="V273" i="5"/>
  <c r="V274" i="5"/>
  <c r="V275" i="5"/>
  <c r="V276" i="5"/>
  <c r="V277" i="5"/>
  <c r="V278" i="5"/>
  <c r="V279" i="5"/>
  <c r="V280" i="5"/>
  <c r="V281" i="5"/>
  <c r="V282" i="5"/>
  <c r="V283" i="5"/>
  <c r="V284" i="5"/>
  <c r="V285" i="5"/>
  <c r="V286" i="5"/>
  <c r="V287" i="5"/>
  <c r="V288" i="5"/>
  <c r="V289" i="5"/>
  <c r="V290" i="5"/>
  <c r="V291" i="5"/>
  <c r="V292" i="5"/>
  <c r="V293" i="5"/>
  <c r="V294" i="5"/>
  <c r="V295" i="5"/>
  <c r="V296" i="5"/>
  <c r="V297" i="5"/>
  <c r="V298" i="5"/>
  <c r="V299" i="5"/>
  <c r="V300" i="5"/>
  <c r="V301" i="5"/>
  <c r="V302" i="5"/>
  <c r="V303" i="5"/>
  <c r="V304" i="5"/>
  <c r="V305" i="5"/>
  <c r="V306" i="5"/>
  <c r="V307" i="5"/>
  <c r="V308" i="5"/>
  <c r="V309" i="5"/>
  <c r="V310" i="5"/>
  <c r="V311" i="5"/>
  <c r="V312" i="5"/>
  <c r="V313" i="5"/>
  <c r="V314" i="5"/>
  <c r="V315" i="5"/>
  <c r="V316" i="5"/>
  <c r="V317" i="5"/>
  <c r="V318" i="5"/>
  <c r="V319" i="5"/>
  <c r="V320" i="5"/>
  <c r="V321" i="5"/>
  <c r="V322" i="5"/>
  <c r="V323" i="5"/>
  <c r="V324" i="5"/>
  <c r="V325" i="5"/>
  <c r="V326" i="5"/>
  <c r="V327" i="5"/>
  <c r="V328" i="5"/>
  <c r="V329" i="5"/>
  <c r="V330" i="5"/>
  <c r="V331" i="5"/>
  <c r="V332" i="5"/>
  <c r="V333" i="5"/>
  <c r="V334" i="5"/>
  <c r="V335" i="5"/>
  <c r="V336" i="5"/>
  <c r="V337" i="5"/>
  <c r="V338" i="5"/>
  <c r="V339" i="5"/>
  <c r="V340" i="5"/>
  <c r="V341" i="5"/>
  <c r="V342" i="5"/>
  <c r="V343" i="5"/>
  <c r="V344" i="5"/>
  <c r="V345" i="5"/>
  <c r="V346" i="5"/>
  <c r="V347" i="5"/>
  <c r="V348" i="5"/>
  <c r="V349" i="5"/>
  <c r="V350" i="5"/>
  <c r="V351" i="5"/>
  <c r="V352" i="5"/>
  <c r="V353" i="5"/>
  <c r="V354" i="5"/>
  <c r="V355" i="5"/>
  <c r="V356" i="5"/>
  <c r="V357" i="5"/>
  <c r="V358" i="5"/>
  <c r="V359" i="5"/>
  <c r="V360" i="5"/>
  <c r="V361" i="5"/>
  <c r="V362" i="5"/>
  <c r="V363" i="5"/>
  <c r="V364" i="5"/>
  <c r="V365" i="5"/>
  <c r="V366" i="5"/>
  <c r="V367" i="5"/>
  <c r="V368" i="5"/>
  <c r="V369" i="5"/>
  <c r="V370" i="5"/>
  <c r="V371" i="5"/>
  <c r="V372" i="5"/>
  <c r="V373" i="5"/>
  <c r="V374" i="5"/>
  <c r="V375" i="5"/>
  <c r="V376" i="5"/>
  <c r="V377" i="5"/>
  <c r="V378" i="5"/>
  <c r="V379" i="5"/>
  <c r="V380" i="5"/>
  <c r="V381" i="5"/>
  <c r="V382" i="5"/>
  <c r="V383" i="5"/>
  <c r="V384" i="5"/>
  <c r="V385" i="5"/>
  <c r="V386" i="5"/>
  <c r="V387" i="5"/>
  <c r="V388" i="5"/>
  <c r="V389" i="5"/>
  <c r="V390" i="5"/>
  <c r="V391" i="5"/>
  <c r="V392" i="5"/>
  <c r="V393" i="5"/>
  <c r="V394" i="5"/>
  <c r="V395" i="5"/>
  <c r="V396" i="5"/>
  <c r="V397" i="5"/>
  <c r="V398" i="5"/>
  <c r="V399" i="5"/>
  <c r="V400" i="5"/>
  <c r="V401" i="5"/>
  <c r="V402" i="5"/>
  <c r="V403" i="5"/>
  <c r="V404" i="5"/>
  <c r="V405" i="5"/>
  <c r="V406" i="5"/>
  <c r="V407" i="5"/>
  <c r="V408" i="5"/>
  <c r="V409" i="5"/>
  <c r="V410" i="5"/>
  <c r="V411" i="5"/>
  <c r="V412" i="5"/>
  <c r="V413" i="5"/>
  <c r="V414" i="5"/>
  <c r="V415" i="5"/>
  <c r="V416" i="5"/>
  <c r="V417" i="5"/>
  <c r="V418" i="5"/>
  <c r="V419" i="5"/>
  <c r="V420" i="5"/>
  <c r="V421" i="5"/>
  <c r="V422" i="5"/>
  <c r="V423" i="5"/>
  <c r="V424" i="5"/>
  <c r="V425" i="5"/>
  <c r="V426" i="5"/>
  <c r="V427" i="5"/>
  <c r="V428" i="5"/>
  <c r="V429" i="5"/>
  <c r="V430" i="5"/>
  <c r="V431" i="5"/>
  <c r="V432" i="5"/>
  <c r="V433" i="5"/>
  <c r="V434" i="5"/>
  <c r="V435" i="5"/>
  <c r="V436" i="5"/>
  <c r="V437" i="5"/>
  <c r="V438" i="5"/>
  <c r="V439" i="5"/>
  <c r="V440" i="5"/>
  <c r="V441" i="5"/>
  <c r="V442" i="5"/>
  <c r="V443" i="5"/>
  <c r="V444" i="5"/>
  <c r="V445" i="5"/>
  <c r="V446" i="5"/>
  <c r="V447" i="5"/>
  <c r="V448" i="5"/>
  <c r="V449" i="5"/>
  <c r="V450" i="5"/>
  <c r="V451" i="5"/>
  <c r="V452" i="5"/>
  <c r="V453" i="5"/>
  <c r="V454" i="5"/>
  <c r="V455" i="5"/>
  <c r="V456" i="5"/>
  <c r="V457" i="5"/>
  <c r="V458" i="5"/>
  <c r="V459" i="5"/>
  <c r="V460" i="5"/>
  <c r="V461" i="5"/>
  <c r="V462" i="5"/>
  <c r="V463" i="5"/>
  <c r="V464" i="5"/>
  <c r="V465" i="5"/>
  <c r="V466" i="5"/>
  <c r="V467" i="5"/>
  <c r="V468" i="5"/>
  <c r="V469" i="5"/>
  <c r="V470" i="5"/>
  <c r="V471" i="5"/>
  <c r="V472" i="5"/>
  <c r="V473" i="5"/>
  <c r="V474" i="5"/>
  <c r="V475" i="5"/>
  <c r="V476" i="5"/>
  <c r="V477" i="5"/>
  <c r="V478" i="5"/>
  <c r="V479" i="5"/>
  <c r="V480" i="5"/>
  <c r="V481" i="5"/>
  <c r="V482" i="5"/>
  <c r="V483" i="5"/>
  <c r="V484" i="5"/>
  <c r="V485" i="5"/>
  <c r="V486" i="5"/>
  <c r="V487" i="5"/>
  <c r="V488" i="5"/>
  <c r="V489" i="5"/>
  <c r="V490" i="5"/>
  <c r="V491" i="5"/>
  <c r="V492" i="5"/>
  <c r="V493" i="5"/>
  <c r="V494" i="5"/>
  <c r="V495" i="5"/>
  <c r="V496" i="5"/>
  <c r="V497" i="5"/>
  <c r="V498" i="5"/>
  <c r="V499" i="5"/>
  <c r="V500" i="5"/>
  <c r="V501" i="5"/>
  <c r="V502" i="5"/>
  <c r="V503" i="5"/>
  <c r="V504" i="5"/>
  <c r="V505" i="5"/>
  <c r="V506" i="5"/>
  <c r="V507" i="5"/>
  <c r="V508" i="5"/>
  <c r="V509" i="5"/>
  <c r="V510" i="5"/>
  <c r="V511" i="5"/>
  <c r="V512" i="5"/>
  <c r="V513" i="5"/>
  <c r="V514" i="5"/>
  <c r="V515" i="5"/>
  <c r="V516" i="5"/>
  <c r="V517" i="5"/>
  <c r="V518" i="5"/>
  <c r="V519" i="5"/>
  <c r="V520" i="5"/>
  <c r="V521" i="5"/>
  <c r="V522" i="5"/>
  <c r="V523" i="5"/>
  <c r="V524" i="5"/>
  <c r="V525" i="5"/>
  <c r="V526" i="5"/>
  <c r="V527" i="5"/>
  <c r="V528" i="5"/>
  <c r="V529" i="5"/>
  <c r="V530" i="5"/>
  <c r="V531" i="5"/>
  <c r="V532" i="5"/>
  <c r="V533" i="5"/>
  <c r="V534" i="5"/>
  <c r="V535" i="5"/>
  <c r="V536" i="5"/>
  <c r="V537" i="5"/>
  <c r="V538" i="5"/>
  <c r="V539" i="5"/>
  <c r="V540" i="5"/>
  <c r="V541" i="5"/>
  <c r="V542" i="5"/>
  <c r="V543" i="5"/>
  <c r="V544" i="5"/>
  <c r="V545" i="5"/>
  <c r="V546" i="5"/>
  <c r="V547" i="5"/>
  <c r="V548" i="5"/>
  <c r="V549" i="5"/>
  <c r="V550" i="5"/>
  <c r="V551" i="5"/>
  <c r="V552" i="5"/>
  <c r="V553" i="5"/>
  <c r="V554" i="5"/>
  <c r="V555" i="5"/>
  <c r="V556" i="5"/>
  <c r="V557" i="5"/>
  <c r="V558" i="5"/>
  <c r="V559" i="5"/>
  <c r="V560" i="5"/>
  <c r="V561" i="5"/>
  <c r="V562" i="5"/>
  <c r="V563" i="5"/>
  <c r="V564" i="5"/>
  <c r="V565" i="5"/>
  <c r="V566" i="5"/>
  <c r="V567" i="5"/>
  <c r="V568" i="5"/>
  <c r="V569" i="5"/>
  <c r="V570" i="5"/>
  <c r="V571" i="5"/>
  <c r="V572" i="5"/>
  <c r="V573" i="5"/>
  <c r="V574" i="5"/>
  <c r="V575" i="5"/>
  <c r="V576" i="5"/>
  <c r="V577" i="5"/>
  <c r="V578" i="5"/>
  <c r="V579" i="5"/>
  <c r="V580" i="5"/>
  <c r="V581" i="5"/>
  <c r="V582" i="5"/>
  <c r="V583" i="5"/>
  <c r="V584" i="5"/>
  <c r="V585" i="5"/>
  <c r="V586" i="5"/>
  <c r="V587" i="5"/>
  <c r="V588" i="5"/>
  <c r="V589" i="5"/>
  <c r="V590" i="5"/>
  <c r="V591" i="5"/>
  <c r="V592" i="5"/>
  <c r="V593" i="5"/>
  <c r="V594" i="5"/>
  <c r="V595" i="5"/>
  <c r="V596" i="5"/>
  <c r="V597" i="5"/>
  <c r="V598" i="5"/>
  <c r="V599" i="5"/>
  <c r="V600" i="5"/>
  <c r="V601" i="5"/>
  <c r="V602" i="5"/>
  <c r="V603" i="5"/>
  <c r="V604" i="5"/>
  <c r="V605" i="5"/>
  <c r="V606" i="5"/>
  <c r="V607" i="5"/>
  <c r="V608" i="5"/>
  <c r="V609" i="5"/>
  <c r="V610" i="5"/>
  <c r="V611" i="5"/>
  <c r="V612" i="5"/>
  <c r="V613" i="5"/>
  <c r="V614" i="5"/>
  <c r="V615" i="5"/>
  <c r="V616" i="5"/>
  <c r="V617" i="5"/>
  <c r="V618" i="5"/>
  <c r="V619" i="5"/>
  <c r="V620" i="5"/>
  <c r="V621" i="5"/>
  <c r="V622" i="5"/>
  <c r="V623" i="5"/>
  <c r="V624" i="5"/>
  <c r="V625" i="5"/>
  <c r="V626" i="5"/>
  <c r="V627" i="5"/>
  <c r="V628" i="5"/>
  <c r="V629" i="5"/>
  <c r="V630" i="5"/>
  <c r="V631" i="5"/>
  <c r="V632" i="5"/>
  <c r="V633" i="5"/>
  <c r="V634" i="5"/>
  <c r="V635" i="5"/>
  <c r="V636" i="5"/>
  <c r="V637" i="5"/>
  <c r="V638" i="5"/>
  <c r="V639" i="5"/>
  <c r="V640" i="5"/>
  <c r="V641" i="5"/>
  <c r="V642" i="5"/>
  <c r="V643" i="5"/>
  <c r="V644" i="5"/>
  <c r="V645" i="5"/>
  <c r="V646" i="5"/>
  <c r="V647" i="5"/>
  <c r="V648" i="5"/>
  <c r="V649" i="5"/>
  <c r="V650" i="5"/>
  <c r="V651" i="5"/>
  <c r="V652" i="5"/>
  <c r="V653" i="5"/>
  <c r="V654" i="5"/>
  <c r="V655" i="5"/>
  <c r="V656" i="5"/>
  <c r="V657" i="5"/>
  <c r="V658" i="5"/>
  <c r="V659" i="5"/>
  <c r="V660" i="5"/>
  <c r="V661" i="5"/>
  <c r="V662" i="5"/>
  <c r="V663" i="5"/>
  <c r="V664" i="5"/>
  <c r="V665" i="5"/>
  <c r="V666" i="5"/>
  <c r="V667" i="5"/>
  <c r="V668" i="5"/>
  <c r="V669" i="5"/>
  <c r="V670" i="5"/>
  <c r="V671" i="5"/>
  <c r="V672" i="5"/>
  <c r="V673" i="5"/>
  <c r="V674" i="5"/>
  <c r="V675" i="5"/>
  <c r="V676" i="5"/>
  <c r="V677" i="5"/>
  <c r="V678" i="5"/>
  <c r="V679" i="5"/>
  <c r="V680" i="5"/>
  <c r="V681" i="5"/>
  <c r="V682" i="5"/>
  <c r="V683" i="5"/>
  <c r="V684" i="5"/>
  <c r="V685" i="5"/>
  <c r="V686" i="5"/>
  <c r="V687" i="5"/>
  <c r="V688" i="5"/>
  <c r="V689" i="5"/>
  <c r="V690" i="5"/>
  <c r="V691" i="5"/>
  <c r="V692" i="5"/>
  <c r="V693" i="5"/>
  <c r="V694" i="5"/>
  <c r="V695" i="5"/>
  <c r="V696" i="5"/>
  <c r="V697" i="5"/>
  <c r="V698" i="5"/>
  <c r="V699" i="5"/>
  <c r="V700" i="5"/>
  <c r="V701" i="5"/>
  <c r="V702" i="5"/>
  <c r="V703" i="5"/>
  <c r="V704" i="5"/>
  <c r="V705" i="5"/>
  <c r="V706" i="5"/>
  <c r="V707" i="5"/>
  <c r="V708" i="5"/>
  <c r="V709" i="5"/>
  <c r="V710" i="5"/>
  <c r="V711" i="5"/>
  <c r="V712" i="5"/>
  <c r="V713" i="5"/>
  <c r="V714" i="5"/>
  <c r="V715" i="5"/>
  <c r="V716" i="5"/>
  <c r="V717" i="5"/>
  <c r="V718" i="5"/>
  <c r="V719" i="5"/>
  <c r="V720" i="5"/>
  <c r="V721" i="5"/>
  <c r="V722" i="5"/>
  <c r="V723" i="5"/>
  <c r="V724" i="5"/>
  <c r="V725" i="5"/>
  <c r="V726" i="5"/>
  <c r="V727" i="5"/>
  <c r="V728" i="5"/>
  <c r="V729" i="5"/>
  <c r="V730" i="5"/>
  <c r="V731" i="5"/>
  <c r="V732" i="5"/>
  <c r="V733" i="5"/>
  <c r="V734" i="5"/>
  <c r="V735" i="5"/>
  <c r="V736" i="5"/>
  <c r="V737" i="5"/>
  <c r="V738" i="5"/>
  <c r="V739" i="5"/>
  <c r="V740" i="5"/>
  <c r="V741" i="5"/>
  <c r="V742" i="5"/>
  <c r="V743" i="5"/>
  <c r="V744" i="5"/>
  <c r="V745" i="5"/>
  <c r="V746" i="5"/>
  <c r="V747" i="5"/>
  <c r="V748" i="5"/>
  <c r="V749" i="5"/>
  <c r="V750" i="5"/>
  <c r="V751" i="5"/>
  <c r="V752" i="5"/>
  <c r="V753" i="5"/>
  <c r="V754" i="5"/>
  <c r="V755" i="5"/>
  <c r="V756" i="5"/>
  <c r="V757" i="5"/>
  <c r="V758" i="5"/>
  <c r="V759" i="5"/>
  <c r="V760" i="5"/>
  <c r="V761" i="5"/>
  <c r="V762" i="5"/>
  <c r="V763" i="5"/>
  <c r="V764" i="5"/>
  <c r="V765" i="5"/>
  <c r="V766" i="5"/>
  <c r="V767" i="5"/>
  <c r="V768" i="5"/>
  <c r="V769" i="5"/>
  <c r="V770" i="5"/>
  <c r="V771" i="5"/>
  <c r="V772" i="5"/>
  <c r="V773" i="5"/>
  <c r="V774" i="5"/>
  <c r="V775" i="5"/>
  <c r="V776" i="5"/>
  <c r="V777" i="5"/>
  <c r="V778" i="5"/>
  <c r="V779" i="5"/>
  <c r="V780" i="5"/>
  <c r="V781" i="5"/>
  <c r="V782" i="5"/>
  <c r="V783" i="5"/>
  <c r="V784" i="5"/>
  <c r="V785" i="5"/>
  <c r="V786" i="5"/>
  <c r="V787" i="5"/>
  <c r="V788" i="5"/>
  <c r="V789" i="5"/>
  <c r="V790" i="5"/>
  <c r="V791" i="5"/>
  <c r="V792" i="5"/>
  <c r="V793" i="5"/>
  <c r="V794" i="5"/>
  <c r="V795" i="5"/>
  <c r="V796" i="5"/>
  <c r="V797" i="5"/>
  <c r="V798" i="5"/>
  <c r="V799" i="5"/>
  <c r="V800" i="5"/>
  <c r="V801" i="5"/>
  <c r="V802" i="5"/>
  <c r="V803" i="5"/>
  <c r="V804" i="5"/>
  <c r="V805" i="5"/>
  <c r="V806" i="5"/>
  <c r="V807" i="5"/>
  <c r="V808" i="5"/>
  <c r="V809" i="5"/>
  <c r="V810" i="5"/>
  <c r="V811" i="5"/>
  <c r="V812" i="5"/>
  <c r="V813" i="5"/>
  <c r="V814" i="5"/>
  <c r="V815" i="5"/>
  <c r="V816" i="5"/>
  <c r="V817" i="5"/>
  <c r="V818" i="5"/>
  <c r="V819" i="5"/>
  <c r="V820" i="5"/>
  <c r="V821" i="5"/>
  <c r="V822" i="5"/>
  <c r="V823" i="5"/>
  <c r="V824" i="5"/>
  <c r="V825" i="5"/>
  <c r="V826" i="5"/>
  <c r="V827" i="5"/>
  <c r="V828" i="5"/>
  <c r="V829" i="5"/>
  <c r="V830" i="5"/>
  <c r="V831" i="5"/>
  <c r="V832" i="5"/>
  <c r="V833" i="5"/>
  <c r="V834" i="5"/>
  <c r="V835" i="5"/>
  <c r="V836" i="5"/>
  <c r="V837" i="5"/>
  <c r="V838" i="5"/>
  <c r="V839" i="5"/>
  <c r="V840" i="5"/>
  <c r="V841" i="5"/>
  <c r="V842" i="5"/>
  <c r="V843" i="5"/>
  <c r="V844" i="5"/>
  <c r="V845" i="5"/>
  <c r="V846" i="5"/>
  <c r="V847" i="5"/>
  <c r="V848" i="5"/>
  <c r="V849" i="5"/>
  <c r="V850" i="5"/>
  <c r="V851" i="5"/>
  <c r="V852" i="5"/>
  <c r="V853" i="5"/>
  <c r="V854" i="5"/>
  <c r="V855" i="5"/>
  <c r="V856" i="5"/>
  <c r="V857" i="5"/>
  <c r="V858" i="5"/>
  <c r="V859" i="5"/>
  <c r="V860" i="5"/>
  <c r="V861" i="5"/>
  <c r="V862" i="5"/>
  <c r="V863" i="5"/>
  <c r="V864" i="5"/>
  <c r="V865" i="5"/>
  <c r="V866" i="5"/>
  <c r="V867" i="5"/>
  <c r="V868" i="5"/>
  <c r="V869" i="5"/>
  <c r="V870" i="5"/>
  <c r="V871" i="5"/>
  <c r="V872" i="5"/>
  <c r="V873" i="5"/>
  <c r="V874" i="5"/>
  <c r="V875" i="5"/>
  <c r="V876" i="5"/>
  <c r="V877" i="5"/>
  <c r="V878" i="5"/>
  <c r="V879" i="5"/>
  <c r="V880" i="5"/>
  <c r="V881" i="5"/>
  <c r="V882" i="5"/>
  <c r="V883" i="5"/>
  <c r="V884" i="5"/>
  <c r="V885" i="5"/>
  <c r="V886" i="5"/>
  <c r="V887" i="5"/>
  <c r="V888" i="5"/>
  <c r="V889" i="5"/>
  <c r="V890" i="5"/>
  <c r="V891" i="5"/>
  <c r="V892" i="5"/>
  <c r="V893" i="5"/>
  <c r="V894" i="5"/>
  <c r="V895" i="5"/>
  <c r="V896" i="5"/>
  <c r="V897" i="5"/>
  <c r="V898" i="5"/>
  <c r="V899" i="5"/>
  <c r="V900" i="5"/>
  <c r="V901" i="5"/>
  <c r="V902" i="5"/>
  <c r="V903" i="5"/>
  <c r="V904" i="5"/>
  <c r="V905" i="5"/>
  <c r="V906" i="5"/>
  <c r="V907" i="5"/>
  <c r="V908" i="5"/>
  <c r="V909" i="5"/>
  <c r="V910" i="5"/>
  <c r="V911" i="5"/>
  <c r="V912" i="5"/>
  <c r="V913" i="5"/>
  <c r="V914" i="5"/>
  <c r="V915" i="5"/>
  <c r="V916" i="5"/>
  <c r="V917" i="5"/>
  <c r="V918" i="5"/>
  <c r="V919" i="5"/>
  <c r="V920" i="5"/>
  <c r="V921" i="5"/>
  <c r="V922" i="5"/>
  <c r="V923" i="5"/>
  <c r="V924" i="5"/>
  <c r="V925" i="5"/>
  <c r="V926" i="5"/>
  <c r="V927" i="5"/>
  <c r="V928" i="5"/>
  <c r="V929" i="5"/>
  <c r="V930" i="5"/>
  <c r="V931" i="5"/>
  <c r="V932" i="5"/>
  <c r="V933" i="5"/>
  <c r="V934" i="5"/>
  <c r="V935" i="5"/>
  <c r="V936" i="5"/>
  <c r="V937" i="5"/>
  <c r="V938" i="5"/>
  <c r="V939" i="5"/>
  <c r="V940" i="5"/>
  <c r="V941" i="5"/>
  <c r="V942" i="5"/>
  <c r="V943" i="5"/>
  <c r="V944" i="5"/>
  <c r="V945" i="5"/>
  <c r="V946" i="5"/>
  <c r="V947" i="5"/>
  <c r="V948" i="5"/>
  <c r="V949" i="5"/>
  <c r="V950" i="5"/>
  <c r="V951" i="5"/>
  <c r="V952" i="5"/>
  <c r="V953" i="5"/>
  <c r="V954" i="5"/>
  <c r="V955" i="5"/>
  <c r="V956" i="5"/>
  <c r="V957" i="5"/>
  <c r="V958" i="5"/>
  <c r="V959" i="5"/>
  <c r="V960" i="5"/>
  <c r="V961" i="5"/>
  <c r="V962" i="5"/>
  <c r="V963" i="5"/>
  <c r="V964" i="5"/>
  <c r="V965" i="5"/>
  <c r="V966" i="5"/>
  <c r="V967" i="5"/>
  <c r="V968" i="5"/>
  <c r="V969" i="5"/>
  <c r="V970" i="5"/>
  <c r="V971" i="5"/>
  <c r="V972" i="5"/>
  <c r="V973" i="5"/>
  <c r="V974" i="5"/>
  <c r="V975" i="5"/>
  <c r="V976" i="5"/>
  <c r="V977" i="5"/>
  <c r="V978" i="5"/>
  <c r="V979" i="5"/>
  <c r="V980" i="5"/>
  <c r="V981" i="5"/>
  <c r="V982" i="5"/>
  <c r="V983" i="5"/>
  <c r="V984" i="5"/>
  <c r="V985" i="5"/>
  <c r="V986" i="5"/>
  <c r="V987" i="5"/>
  <c r="V988" i="5"/>
  <c r="V989" i="5"/>
  <c r="V990" i="5"/>
  <c r="V991" i="5"/>
  <c r="V992" i="5"/>
  <c r="V993" i="5"/>
  <c r="V994" i="5"/>
  <c r="V995" i="5"/>
  <c r="V996" i="5"/>
  <c r="V997" i="5"/>
  <c r="V998" i="5"/>
  <c r="V999" i="5"/>
  <c r="V1000" i="5"/>
  <c r="V1001" i="5"/>
  <c r="V1002" i="5"/>
  <c r="V1003" i="5"/>
  <c r="V1004" i="5"/>
  <c r="V1005" i="5"/>
  <c r="V1006" i="5"/>
  <c r="V1007" i="5"/>
  <c r="V1008" i="5"/>
  <c r="V1009" i="5"/>
  <c r="V1010" i="5"/>
  <c r="V1011" i="5"/>
  <c r="V1012" i="5"/>
  <c r="V1013" i="5"/>
  <c r="V1014" i="5"/>
  <c r="V1015" i="5"/>
  <c r="V1016" i="5"/>
  <c r="V1017" i="5"/>
  <c r="V1018" i="5"/>
  <c r="V1019" i="5"/>
  <c r="V1020" i="5"/>
  <c r="V1021" i="5"/>
  <c r="V1022" i="5"/>
  <c r="V1023" i="5"/>
  <c r="V1024" i="5"/>
  <c r="V1025" i="5"/>
  <c r="V1026" i="5"/>
  <c r="V1027" i="5"/>
  <c r="V1028" i="5"/>
  <c r="V1029" i="5"/>
  <c r="V1030" i="5"/>
  <c r="V1031" i="5"/>
  <c r="V1032" i="5"/>
  <c r="V1033" i="5"/>
  <c r="V1034" i="5"/>
  <c r="V1035" i="5"/>
  <c r="V1036" i="5"/>
  <c r="V1037" i="5"/>
  <c r="V1038" i="5"/>
  <c r="V1039" i="5"/>
  <c r="V1040" i="5"/>
  <c r="V1041" i="5"/>
  <c r="V1042" i="5"/>
  <c r="V1043" i="5"/>
  <c r="V1044" i="5"/>
  <c r="V1045" i="5"/>
  <c r="V1046" i="5"/>
  <c r="V1047" i="5"/>
  <c r="V1048" i="5"/>
  <c r="V1049" i="5"/>
  <c r="V1050" i="5"/>
  <c r="V1051" i="5"/>
  <c r="V1052" i="5"/>
  <c r="V1053" i="5"/>
  <c r="V1054" i="5"/>
  <c r="V1055" i="5"/>
  <c r="V1056" i="5"/>
  <c r="V1057" i="5"/>
  <c r="V1058" i="5"/>
  <c r="V1059" i="5"/>
  <c r="V1060" i="5"/>
  <c r="V1061" i="5"/>
  <c r="V1062" i="5"/>
  <c r="V1063" i="5"/>
  <c r="V1064" i="5"/>
  <c r="V1065" i="5"/>
  <c r="V1066" i="5"/>
  <c r="V1067" i="5"/>
  <c r="V1068" i="5"/>
  <c r="V1069" i="5"/>
  <c r="V1070" i="5"/>
  <c r="V1071" i="5"/>
  <c r="V1072" i="5"/>
  <c r="V1073" i="5"/>
  <c r="V1074" i="5"/>
  <c r="V1075" i="5"/>
  <c r="V1076" i="5"/>
  <c r="V1077" i="5"/>
  <c r="V1078" i="5"/>
  <c r="V1079" i="5"/>
  <c r="V1080" i="5"/>
  <c r="V1081" i="5"/>
  <c r="V1082" i="5"/>
  <c r="V1083" i="5"/>
  <c r="V1084" i="5"/>
  <c r="V1085" i="5"/>
  <c r="V1086" i="5"/>
  <c r="V1087" i="5"/>
  <c r="V1088" i="5"/>
  <c r="V1089" i="5"/>
  <c r="V1090" i="5"/>
  <c r="V1091" i="5"/>
  <c r="V1092" i="5"/>
  <c r="V1093" i="5"/>
  <c r="V1094" i="5"/>
  <c r="V1095" i="5"/>
  <c r="V1096" i="5"/>
  <c r="V1097" i="5"/>
  <c r="V1098" i="5"/>
  <c r="V1099" i="5"/>
  <c r="V1100" i="5"/>
  <c r="V1101" i="5"/>
  <c r="V1102" i="5"/>
  <c r="V1103" i="5"/>
  <c r="V1104" i="5"/>
  <c r="V1105" i="5"/>
  <c r="V1106" i="5"/>
  <c r="V1107" i="5"/>
  <c r="V1108" i="5"/>
  <c r="V1109" i="5"/>
  <c r="V1110" i="5"/>
  <c r="V1111" i="5"/>
  <c r="V1112" i="5"/>
  <c r="V1113" i="5"/>
  <c r="V1114" i="5"/>
  <c r="V1115" i="5"/>
  <c r="V1116" i="5"/>
  <c r="V1117" i="5"/>
  <c r="V1118" i="5"/>
  <c r="V1119" i="5"/>
  <c r="V1120" i="5"/>
  <c r="V1121" i="5"/>
  <c r="V1122" i="5"/>
  <c r="V1123" i="5"/>
  <c r="V1124" i="5"/>
  <c r="V1125" i="5"/>
  <c r="V1126" i="5"/>
  <c r="V1127" i="5"/>
  <c r="V1128" i="5"/>
  <c r="V1129" i="5"/>
  <c r="V1130" i="5"/>
  <c r="V1131" i="5"/>
  <c r="V1132" i="5"/>
  <c r="V1133" i="5"/>
  <c r="V1134" i="5"/>
  <c r="V1135" i="5"/>
  <c r="V1136" i="5"/>
  <c r="V1137" i="5"/>
  <c r="V1138" i="5"/>
  <c r="V1139" i="5"/>
  <c r="V1140" i="5"/>
  <c r="V1141" i="5"/>
  <c r="V1142" i="5"/>
  <c r="V1143" i="5"/>
  <c r="V1144" i="5"/>
  <c r="V1145" i="5"/>
  <c r="V1146" i="5"/>
  <c r="V1147" i="5"/>
  <c r="V1148" i="5"/>
  <c r="V1149" i="5"/>
  <c r="V1150" i="5"/>
  <c r="V1151" i="5"/>
  <c r="V1152" i="5"/>
  <c r="V1153" i="5"/>
  <c r="V1154" i="5"/>
  <c r="V1155" i="5"/>
  <c r="V1156" i="5"/>
  <c r="V1157" i="5"/>
  <c r="V1158" i="5"/>
  <c r="V1159" i="5"/>
  <c r="V1160" i="5"/>
  <c r="V1161" i="5"/>
  <c r="V1162" i="5"/>
  <c r="V1163" i="5"/>
  <c r="V1164" i="5"/>
  <c r="V1165" i="5"/>
  <c r="V1166" i="5"/>
  <c r="V1167" i="5"/>
  <c r="V1168" i="5"/>
  <c r="V1169" i="5"/>
  <c r="V1170" i="5"/>
  <c r="V1171" i="5"/>
  <c r="V1172" i="5"/>
  <c r="V1173" i="5"/>
  <c r="V1174" i="5"/>
  <c r="V1175" i="5"/>
  <c r="V1176" i="5"/>
  <c r="V1177" i="5"/>
  <c r="V1178" i="5"/>
  <c r="V1179" i="5"/>
  <c r="V1180" i="5"/>
  <c r="V1181" i="5"/>
  <c r="V1182" i="5"/>
  <c r="V1183" i="5"/>
  <c r="V1184" i="5"/>
  <c r="V1185" i="5"/>
  <c r="V1186" i="5"/>
  <c r="V1187" i="5"/>
  <c r="V1188" i="5"/>
  <c r="V1189" i="5"/>
  <c r="V1190" i="5"/>
  <c r="V1191" i="5"/>
  <c r="V1192" i="5"/>
  <c r="V1193" i="5"/>
  <c r="V1194" i="5"/>
  <c r="V1195" i="5"/>
  <c r="V1196" i="5"/>
  <c r="V1197" i="5"/>
  <c r="V1198" i="5"/>
  <c r="V1199" i="5"/>
  <c r="V1200" i="5"/>
  <c r="V1201" i="5"/>
  <c r="V1202" i="5"/>
  <c r="V1203" i="5"/>
  <c r="V1204" i="5"/>
  <c r="V1205" i="5"/>
  <c r="V1206" i="5"/>
  <c r="V1207" i="5"/>
  <c r="V1208" i="5"/>
  <c r="V1209" i="5"/>
  <c r="V1210" i="5"/>
  <c r="V1211" i="5"/>
  <c r="V1212" i="5"/>
  <c r="V1213" i="5"/>
  <c r="V1214" i="5"/>
  <c r="V1215" i="5"/>
  <c r="V1216" i="5"/>
  <c r="V1217" i="5"/>
  <c r="V1218" i="5"/>
  <c r="V1219" i="5"/>
  <c r="V1220" i="5"/>
  <c r="V1221" i="5"/>
  <c r="V1222" i="5"/>
  <c r="V1223" i="5"/>
  <c r="V1224" i="5"/>
  <c r="V1225" i="5"/>
  <c r="V1226" i="5"/>
  <c r="V1227" i="5"/>
  <c r="V1228" i="5"/>
  <c r="V1229" i="5"/>
  <c r="V1230" i="5"/>
  <c r="V1231" i="5"/>
  <c r="V1232" i="5"/>
  <c r="V1233" i="5"/>
  <c r="V1234" i="5"/>
  <c r="V1235" i="5"/>
  <c r="V1236" i="5"/>
  <c r="V1237" i="5"/>
  <c r="V1238" i="5"/>
  <c r="V1239" i="5"/>
  <c r="V1240" i="5"/>
  <c r="V1241" i="5"/>
  <c r="V1242" i="5"/>
  <c r="V1243" i="5"/>
  <c r="V1244" i="5"/>
  <c r="V1245" i="5"/>
  <c r="V1246" i="5"/>
  <c r="V1247" i="5"/>
  <c r="V1248" i="5"/>
  <c r="V1249" i="5"/>
  <c r="V1250" i="5"/>
  <c r="V1251" i="5"/>
  <c r="V1252" i="5"/>
  <c r="V1253" i="5"/>
  <c r="V1254" i="5"/>
  <c r="V1255" i="5"/>
  <c r="V1256" i="5"/>
  <c r="V1257" i="5"/>
  <c r="V1258" i="5"/>
  <c r="V1259" i="5"/>
  <c r="V1260" i="5"/>
  <c r="V1261" i="5"/>
  <c r="V1262" i="5"/>
  <c r="V1263" i="5"/>
  <c r="V1264" i="5"/>
  <c r="V1265" i="5"/>
  <c r="V1266" i="5"/>
  <c r="V1267" i="5"/>
  <c r="V1268" i="5"/>
  <c r="V1269" i="5"/>
  <c r="V1270" i="5"/>
  <c r="V1271" i="5"/>
  <c r="V1272" i="5"/>
  <c r="V1273" i="5"/>
  <c r="V1274" i="5"/>
  <c r="V1275" i="5"/>
  <c r="V1276" i="5"/>
  <c r="V1277" i="5"/>
  <c r="V1278" i="5"/>
  <c r="V1279" i="5"/>
  <c r="V1280" i="5"/>
  <c r="V1281" i="5"/>
  <c r="V1282" i="5"/>
  <c r="V1283" i="5"/>
  <c r="V1284" i="5"/>
  <c r="V1285" i="5"/>
  <c r="V1286" i="5"/>
  <c r="V1287" i="5"/>
  <c r="V1288" i="5"/>
  <c r="V1289" i="5"/>
  <c r="V1290" i="5"/>
  <c r="V1291" i="5"/>
  <c r="V1292" i="5"/>
  <c r="V1293" i="5"/>
  <c r="V1294" i="5"/>
  <c r="V1295" i="5"/>
  <c r="V1296" i="5"/>
  <c r="V1297" i="5"/>
  <c r="V1298" i="5"/>
  <c r="V1299" i="5"/>
  <c r="V1300" i="5"/>
  <c r="V1301" i="5"/>
  <c r="V1302" i="5"/>
  <c r="V1303" i="5"/>
  <c r="V1304" i="5"/>
  <c r="V1305" i="5"/>
  <c r="V1306" i="5"/>
  <c r="V1307" i="5"/>
  <c r="V1308" i="5"/>
  <c r="V1309" i="5"/>
  <c r="V1310" i="5"/>
  <c r="V1311" i="5"/>
  <c r="V1312" i="5"/>
  <c r="V1313" i="5"/>
  <c r="V1314" i="5"/>
  <c r="V1315" i="5"/>
  <c r="V1316" i="5"/>
  <c r="V1317" i="5"/>
  <c r="V1318" i="5"/>
  <c r="V1319" i="5"/>
  <c r="V1320" i="5"/>
  <c r="V1321" i="5"/>
  <c r="V1322" i="5"/>
  <c r="V1323" i="5"/>
  <c r="V1324" i="5"/>
  <c r="V1325" i="5"/>
  <c r="V1326" i="5"/>
  <c r="V1327" i="5"/>
  <c r="V1328" i="5"/>
  <c r="V1329" i="5"/>
  <c r="V1330" i="5"/>
  <c r="V1331" i="5"/>
  <c r="V1332" i="5"/>
  <c r="V1333" i="5"/>
  <c r="V1334" i="5"/>
  <c r="V1335" i="5"/>
  <c r="V1336" i="5"/>
  <c r="V1337" i="5"/>
  <c r="V1338" i="5"/>
  <c r="V1339" i="5"/>
  <c r="V1340" i="5"/>
  <c r="V1341" i="5"/>
  <c r="V1342" i="5"/>
  <c r="V1343" i="5"/>
  <c r="V1344" i="5"/>
  <c r="V1345" i="5"/>
  <c r="V1346" i="5"/>
  <c r="V1347" i="5"/>
  <c r="V1348" i="5"/>
  <c r="V1349" i="5"/>
  <c r="V1350" i="5"/>
  <c r="V1351" i="5"/>
  <c r="V1352" i="5"/>
  <c r="V1353" i="5"/>
  <c r="V1354" i="5"/>
  <c r="V1355" i="5"/>
  <c r="V1356" i="5"/>
  <c r="V1357" i="5"/>
  <c r="V1358" i="5"/>
  <c r="V1359" i="5"/>
  <c r="V1360" i="5"/>
  <c r="V1361" i="5"/>
  <c r="V1362" i="5"/>
  <c r="V1363" i="5"/>
  <c r="V1364" i="5"/>
  <c r="V1365" i="5"/>
  <c r="V1366" i="5"/>
  <c r="V1367" i="5"/>
  <c r="V1368" i="5"/>
  <c r="V1369" i="5"/>
  <c r="V1370" i="5"/>
  <c r="V1371" i="5"/>
  <c r="V1372" i="5"/>
  <c r="V1373" i="5"/>
  <c r="V1374" i="5"/>
  <c r="V1375" i="5"/>
  <c r="V1376" i="5"/>
  <c r="V1377" i="5"/>
  <c r="V1378" i="5"/>
  <c r="V1379" i="5"/>
  <c r="V1380" i="5"/>
  <c r="V1381" i="5"/>
  <c r="V1382" i="5"/>
  <c r="V1383" i="5"/>
  <c r="V1384" i="5"/>
  <c r="V1385" i="5"/>
  <c r="V1386" i="5"/>
  <c r="V1387" i="5"/>
  <c r="V1388" i="5"/>
  <c r="V1389" i="5"/>
  <c r="V1390" i="5"/>
  <c r="V1391" i="5"/>
  <c r="V1392" i="5"/>
  <c r="V1393" i="5"/>
  <c r="V1394" i="5"/>
  <c r="V1395" i="5"/>
  <c r="V1396" i="5"/>
  <c r="V1397" i="5"/>
  <c r="V1398" i="5"/>
  <c r="V1399" i="5"/>
  <c r="V1400" i="5"/>
  <c r="V1401" i="5"/>
  <c r="V1402" i="5"/>
  <c r="V1403" i="5"/>
  <c r="V1404" i="5"/>
  <c r="V1405" i="5"/>
  <c r="V1406" i="5"/>
  <c r="V1407" i="5"/>
  <c r="V1408" i="5"/>
  <c r="V1409" i="5"/>
  <c r="V1410" i="5"/>
  <c r="V1411" i="5"/>
  <c r="V1412" i="5"/>
  <c r="V1413" i="5"/>
  <c r="V1414" i="5"/>
  <c r="V1415" i="5"/>
  <c r="V1416" i="5"/>
  <c r="V1417" i="5"/>
  <c r="V1418" i="5"/>
  <c r="V1419" i="5"/>
  <c r="V1420" i="5"/>
  <c r="V1421" i="5"/>
  <c r="V1422" i="5"/>
  <c r="V1423" i="5"/>
  <c r="V1424" i="5"/>
  <c r="V1425" i="5"/>
  <c r="V1426" i="5"/>
  <c r="V1427" i="5"/>
  <c r="V1428" i="5"/>
  <c r="V1429" i="5"/>
  <c r="V1430" i="5"/>
  <c r="V1431" i="5"/>
  <c r="V1432" i="5"/>
  <c r="V1433" i="5"/>
  <c r="V1434" i="5"/>
  <c r="V1435" i="5"/>
  <c r="V1436" i="5"/>
  <c r="V1437" i="5"/>
  <c r="V1438" i="5"/>
  <c r="V1439" i="5"/>
  <c r="V1440" i="5"/>
  <c r="V1441" i="5"/>
  <c r="V1442" i="5"/>
  <c r="V1443" i="5"/>
  <c r="V1444" i="5"/>
  <c r="V1445" i="5"/>
  <c r="V1446" i="5"/>
  <c r="V1447" i="5"/>
  <c r="V1448" i="5"/>
  <c r="V1449" i="5"/>
  <c r="V1450" i="5"/>
  <c r="V1451" i="5"/>
  <c r="V1452" i="5"/>
  <c r="V1453" i="5"/>
  <c r="V1454" i="5"/>
  <c r="V1455" i="5"/>
  <c r="V1456" i="5"/>
  <c r="V1457" i="5"/>
  <c r="V1458" i="5"/>
  <c r="V1459" i="5"/>
  <c r="V1460" i="5"/>
  <c r="V1461" i="5"/>
  <c r="V1462" i="5"/>
  <c r="V1463" i="5"/>
  <c r="V1464" i="5"/>
  <c r="V1465" i="5"/>
  <c r="V1466" i="5"/>
  <c r="V1467" i="5"/>
  <c r="V1468" i="5"/>
  <c r="V1469" i="5"/>
  <c r="V1470" i="5"/>
  <c r="V1471" i="5"/>
  <c r="V1472" i="5"/>
  <c r="V1473" i="5"/>
  <c r="V1474" i="5"/>
  <c r="V1475" i="5"/>
  <c r="V1476" i="5"/>
  <c r="V1477" i="5"/>
  <c r="V1478" i="5"/>
  <c r="V1479" i="5"/>
  <c r="V1480" i="5"/>
  <c r="V1481" i="5"/>
  <c r="V1482" i="5"/>
  <c r="V1483" i="5"/>
  <c r="V1484" i="5"/>
  <c r="V1485" i="5"/>
  <c r="V1486" i="5"/>
  <c r="V1487" i="5"/>
  <c r="V1488" i="5"/>
  <c r="V1489" i="5"/>
  <c r="V1490" i="5"/>
  <c r="V1491" i="5"/>
  <c r="V1492" i="5"/>
  <c r="V1493" i="5"/>
  <c r="V1494" i="5"/>
  <c r="V1495" i="5"/>
  <c r="V1496" i="5"/>
  <c r="V1497" i="5"/>
  <c r="V1498" i="5"/>
  <c r="V1499" i="5"/>
  <c r="V1500" i="5"/>
  <c r="V1501" i="5"/>
  <c r="V1502" i="5"/>
  <c r="V1503" i="5"/>
  <c r="V1504" i="5"/>
  <c r="V1505" i="5"/>
  <c r="V1506" i="5"/>
  <c r="V1507" i="5"/>
  <c r="V1508" i="5"/>
  <c r="V1509" i="5"/>
  <c r="V1510" i="5"/>
  <c r="V1511" i="5"/>
  <c r="V1512" i="5"/>
  <c r="V1513" i="5"/>
  <c r="V1514" i="5"/>
  <c r="V1515" i="5"/>
  <c r="V1516" i="5"/>
  <c r="V1517" i="5"/>
  <c r="V1518" i="5"/>
  <c r="V1519" i="5"/>
  <c r="V1520" i="5"/>
  <c r="V1521" i="5"/>
  <c r="V1522" i="5"/>
  <c r="V1523" i="5"/>
  <c r="V1524" i="5"/>
  <c r="V1525" i="5"/>
  <c r="V1526" i="5"/>
  <c r="V1527" i="5"/>
  <c r="V1528" i="5"/>
  <c r="V1529" i="5"/>
  <c r="V1530" i="5"/>
  <c r="V1531" i="5"/>
  <c r="V1532" i="5"/>
  <c r="V1533" i="5"/>
  <c r="V1534" i="5"/>
  <c r="V1535" i="5"/>
  <c r="V1536" i="5"/>
  <c r="V1537" i="5"/>
  <c r="V1538" i="5"/>
  <c r="V1539" i="5"/>
  <c r="V1540" i="5"/>
  <c r="V1541" i="5"/>
  <c r="V1542" i="5"/>
  <c r="V1543" i="5"/>
  <c r="V1544" i="5"/>
  <c r="V1545" i="5"/>
  <c r="V1546" i="5"/>
  <c r="V1547" i="5"/>
  <c r="V1548" i="5"/>
  <c r="V1549" i="5"/>
  <c r="V1550" i="5"/>
  <c r="V1551" i="5"/>
  <c r="V1552" i="5"/>
  <c r="V1553" i="5"/>
  <c r="V1554" i="5"/>
  <c r="V1555" i="5"/>
  <c r="V1556" i="5"/>
  <c r="V1557" i="5"/>
  <c r="V1558" i="5"/>
  <c r="V1559" i="5"/>
  <c r="V1560" i="5"/>
  <c r="V1561" i="5"/>
  <c r="V1562" i="5"/>
  <c r="V1563" i="5"/>
  <c r="V1564" i="5"/>
  <c r="V1565" i="5"/>
  <c r="V1566" i="5"/>
  <c r="V1567" i="5"/>
  <c r="V1568" i="5"/>
  <c r="V1569" i="5"/>
  <c r="V1570" i="5"/>
  <c r="V1571" i="5"/>
  <c r="V1572" i="5"/>
  <c r="V1573" i="5"/>
  <c r="V1574" i="5"/>
  <c r="V1575" i="5"/>
  <c r="V1576" i="5"/>
  <c r="V1577" i="5"/>
  <c r="V1578" i="5"/>
  <c r="V1579" i="5"/>
  <c r="V1580" i="5"/>
  <c r="V1581" i="5"/>
  <c r="V1582" i="5"/>
  <c r="V1583" i="5"/>
  <c r="V1584" i="5"/>
  <c r="V1585" i="5"/>
  <c r="V1586" i="5"/>
  <c r="V1587" i="5"/>
  <c r="V1588" i="5"/>
  <c r="V1589" i="5"/>
  <c r="V1590" i="5"/>
  <c r="V1591" i="5"/>
  <c r="V1592" i="5"/>
  <c r="V1593" i="5"/>
  <c r="V1594" i="5"/>
  <c r="V1595" i="5"/>
  <c r="V1596" i="5"/>
  <c r="V1597" i="5"/>
  <c r="V1598" i="5"/>
  <c r="V1599" i="5"/>
  <c r="V1600" i="5"/>
  <c r="V1601" i="5"/>
  <c r="V1602" i="5"/>
  <c r="V1603" i="5"/>
  <c r="V1604" i="5"/>
  <c r="V1605" i="5"/>
  <c r="V1606" i="5"/>
  <c r="V1607" i="5"/>
  <c r="V1608" i="5"/>
  <c r="V1609" i="5"/>
  <c r="V1610" i="5"/>
  <c r="V1611" i="5"/>
  <c r="V1612" i="5"/>
  <c r="V1613" i="5"/>
  <c r="V1614" i="5"/>
  <c r="V1615" i="5"/>
  <c r="V1616" i="5"/>
  <c r="V1617" i="5"/>
  <c r="V1618" i="5"/>
  <c r="V1619" i="5"/>
  <c r="V1620" i="5"/>
  <c r="V1621" i="5"/>
  <c r="V1622" i="5"/>
  <c r="V1623" i="5"/>
  <c r="V1624" i="5"/>
  <c r="V1625" i="5"/>
  <c r="V1626" i="5"/>
  <c r="V1627" i="5"/>
  <c r="V1628" i="5"/>
  <c r="V1629" i="5"/>
  <c r="V1630" i="5"/>
  <c r="V1631" i="5"/>
  <c r="V1632" i="5"/>
  <c r="V1633" i="5"/>
  <c r="V1634" i="5"/>
  <c r="V1635" i="5"/>
  <c r="V1636" i="5"/>
  <c r="V1637" i="5"/>
  <c r="V1638" i="5"/>
  <c r="V1639" i="5"/>
  <c r="V1640" i="5"/>
  <c r="V1641" i="5"/>
  <c r="V1642" i="5"/>
  <c r="V1643" i="5"/>
  <c r="V1644" i="5"/>
  <c r="V1645" i="5"/>
  <c r="V1646" i="5"/>
  <c r="V1647" i="5"/>
  <c r="V1648" i="5"/>
  <c r="V1649" i="5"/>
  <c r="V1650" i="5"/>
  <c r="V1651" i="5"/>
  <c r="V1652" i="5"/>
  <c r="V1653" i="5"/>
  <c r="V1654" i="5"/>
  <c r="V1655" i="5"/>
  <c r="V1656" i="5"/>
  <c r="V1657" i="5"/>
  <c r="V1658" i="5"/>
  <c r="V1659" i="5"/>
  <c r="V1660" i="5"/>
  <c r="V1661" i="5"/>
  <c r="V1662" i="5"/>
  <c r="V1663" i="5"/>
  <c r="V1664" i="5"/>
  <c r="V1665" i="5"/>
  <c r="V1666" i="5"/>
  <c r="V1667" i="5"/>
  <c r="V1668" i="5"/>
  <c r="V1669" i="5"/>
  <c r="V1670" i="5"/>
  <c r="V1671" i="5"/>
  <c r="V1672" i="5"/>
  <c r="V1673" i="5"/>
  <c r="V1674" i="5"/>
  <c r="V1675" i="5"/>
  <c r="V1676" i="5"/>
  <c r="V1677" i="5"/>
  <c r="V1678" i="5"/>
  <c r="V1679" i="5"/>
  <c r="V1680" i="5"/>
  <c r="V1681" i="5"/>
  <c r="V1682" i="5"/>
  <c r="V1683" i="5"/>
  <c r="V1684" i="5"/>
  <c r="V1685" i="5"/>
  <c r="V1686" i="5"/>
  <c r="V1687" i="5"/>
  <c r="V1688" i="5"/>
  <c r="V1689" i="5"/>
  <c r="V1690" i="5"/>
  <c r="V1691" i="5"/>
  <c r="V1692" i="5"/>
  <c r="V1693" i="5"/>
  <c r="V1694" i="5"/>
  <c r="V1695" i="5"/>
  <c r="V1696" i="5"/>
  <c r="V1697" i="5"/>
  <c r="V1698" i="5"/>
  <c r="V1699" i="5"/>
  <c r="V1700" i="5"/>
  <c r="V1701" i="5"/>
  <c r="V1702" i="5"/>
  <c r="V1703" i="5"/>
  <c r="V1704" i="5"/>
  <c r="V1705" i="5"/>
  <c r="V1706" i="5"/>
  <c r="V1707" i="5"/>
  <c r="V1708" i="5"/>
  <c r="V1709" i="5"/>
  <c r="V1710" i="5"/>
  <c r="V1711" i="5"/>
  <c r="V1712" i="5"/>
  <c r="V1713" i="5"/>
  <c r="V1714" i="5"/>
  <c r="V1715" i="5"/>
  <c r="V1716" i="5"/>
  <c r="V1717" i="5"/>
  <c r="V1718" i="5"/>
  <c r="V1719" i="5"/>
  <c r="V1720" i="5"/>
  <c r="V1721" i="5"/>
  <c r="V1722" i="5"/>
  <c r="V1723" i="5"/>
  <c r="V1724" i="5"/>
  <c r="V1725" i="5"/>
  <c r="V1726" i="5"/>
  <c r="V1727" i="5"/>
  <c r="V1728" i="5"/>
  <c r="V1729" i="5"/>
  <c r="V1730" i="5"/>
  <c r="V1731" i="5"/>
  <c r="V1732" i="5"/>
  <c r="V1733" i="5"/>
  <c r="V1734" i="5"/>
  <c r="V1735" i="5"/>
  <c r="V1736" i="5"/>
  <c r="V1737" i="5"/>
  <c r="V1738" i="5"/>
  <c r="V1739" i="5"/>
  <c r="V1740" i="5"/>
  <c r="V1741" i="5"/>
  <c r="V1742" i="5"/>
  <c r="V1743" i="5"/>
  <c r="V1744" i="5"/>
  <c r="V1745" i="5"/>
  <c r="V1746" i="5"/>
  <c r="V1747" i="5"/>
  <c r="V1748" i="5"/>
  <c r="V1749" i="5"/>
  <c r="V1750" i="5"/>
  <c r="V1751" i="5"/>
  <c r="V1752" i="5"/>
  <c r="V1753" i="5"/>
  <c r="V1754" i="5"/>
  <c r="V1755" i="5"/>
  <c r="V1756" i="5"/>
  <c r="V1757" i="5"/>
  <c r="V1758" i="5"/>
  <c r="V1759" i="5"/>
  <c r="V1760" i="5"/>
  <c r="V1761" i="5"/>
  <c r="V1762" i="5"/>
  <c r="V1763" i="5"/>
  <c r="V1764" i="5"/>
  <c r="V1765" i="5"/>
  <c r="V1766" i="5"/>
  <c r="V1767" i="5"/>
  <c r="V1768" i="5"/>
  <c r="V1769" i="5"/>
  <c r="V1770" i="5"/>
  <c r="V1771" i="5"/>
  <c r="V1772" i="5"/>
  <c r="V1773" i="5"/>
  <c r="V1774" i="5"/>
  <c r="V1775" i="5"/>
  <c r="V1776" i="5"/>
  <c r="V1777" i="5"/>
  <c r="V1778" i="5"/>
  <c r="V1779" i="5"/>
  <c r="V1780" i="5"/>
  <c r="V1781" i="5"/>
  <c r="V1782" i="5"/>
  <c r="V1783" i="5"/>
  <c r="V1784" i="5"/>
  <c r="V1785" i="5"/>
  <c r="V1786" i="5"/>
  <c r="V1787" i="5"/>
  <c r="V1788" i="5"/>
  <c r="V1789" i="5"/>
  <c r="V1790" i="5"/>
  <c r="V1791" i="5"/>
  <c r="V1792" i="5"/>
  <c r="V1793" i="5"/>
  <c r="V1794" i="5"/>
  <c r="V1795" i="5"/>
  <c r="V1796" i="5"/>
  <c r="V1797" i="5"/>
  <c r="V1798" i="5"/>
  <c r="V1799" i="5"/>
  <c r="V1800" i="5"/>
  <c r="V1801" i="5"/>
  <c r="V1802" i="5"/>
  <c r="V1803" i="5"/>
  <c r="V1804" i="5"/>
  <c r="V1805" i="5"/>
  <c r="V1806" i="5"/>
  <c r="V1807" i="5"/>
  <c r="V1808" i="5"/>
  <c r="V1809" i="5"/>
  <c r="V1810" i="5"/>
  <c r="V1811" i="5"/>
  <c r="V1812" i="5"/>
  <c r="V1813" i="5"/>
  <c r="V1814" i="5"/>
  <c r="V1815" i="5"/>
  <c r="V1816" i="5"/>
  <c r="V1817" i="5"/>
  <c r="V1818" i="5"/>
  <c r="V1819" i="5"/>
  <c r="V1820" i="5"/>
  <c r="V1821" i="5"/>
  <c r="V1822" i="5"/>
  <c r="V1823" i="5"/>
  <c r="V1824" i="5"/>
  <c r="V1825" i="5"/>
  <c r="V1826" i="5"/>
  <c r="V1827" i="5"/>
  <c r="V1828" i="5"/>
  <c r="V1829" i="5"/>
  <c r="V1830" i="5"/>
  <c r="V1831" i="5"/>
  <c r="V1832" i="5"/>
  <c r="V1833" i="5"/>
  <c r="V1834" i="5"/>
  <c r="V1835" i="5"/>
  <c r="V1836" i="5"/>
  <c r="V1837" i="5"/>
  <c r="V1838" i="5"/>
  <c r="V1839" i="5"/>
  <c r="V1840" i="5"/>
  <c r="V1841" i="5"/>
  <c r="V1842" i="5"/>
  <c r="V1843" i="5"/>
  <c r="V1844" i="5"/>
  <c r="V1845" i="5"/>
  <c r="V1846" i="5"/>
  <c r="V1847" i="5"/>
  <c r="V1848" i="5"/>
  <c r="V1849" i="5"/>
  <c r="V1850" i="5"/>
  <c r="V1851" i="5"/>
  <c r="V1852" i="5"/>
  <c r="V1853" i="5"/>
  <c r="V1854" i="5"/>
  <c r="V1855" i="5"/>
  <c r="V1856" i="5"/>
  <c r="V1857" i="5"/>
  <c r="V1858" i="5"/>
  <c r="V1859" i="5"/>
  <c r="V1860" i="5"/>
  <c r="V1861" i="5"/>
  <c r="V1862" i="5"/>
  <c r="V1863" i="5"/>
  <c r="V1864" i="5"/>
  <c r="V1865" i="5"/>
  <c r="V1866" i="5"/>
  <c r="V1867" i="5"/>
  <c r="V1868" i="5"/>
  <c r="V1869" i="5"/>
  <c r="V1870" i="5"/>
  <c r="V1871" i="5"/>
  <c r="V1872" i="5"/>
  <c r="V1873" i="5"/>
  <c r="V1874" i="5"/>
  <c r="V1875" i="5"/>
  <c r="V1876" i="5"/>
  <c r="V1877" i="5"/>
  <c r="V1878" i="5"/>
  <c r="V1879" i="5"/>
  <c r="V1880" i="5"/>
  <c r="V1881" i="5"/>
  <c r="V1882" i="5"/>
  <c r="V1883" i="5"/>
  <c r="V1884" i="5"/>
  <c r="V1885" i="5"/>
  <c r="V1886" i="5"/>
  <c r="V1887" i="5"/>
  <c r="V1888" i="5"/>
  <c r="V1889" i="5"/>
  <c r="V1890" i="5"/>
  <c r="V1891" i="5"/>
  <c r="V1892" i="5"/>
  <c r="V1893" i="5"/>
  <c r="V1894" i="5"/>
  <c r="V1895" i="5"/>
  <c r="V1896" i="5"/>
  <c r="V1897" i="5"/>
  <c r="V1898" i="5"/>
  <c r="V1899" i="5"/>
  <c r="V1900" i="5"/>
  <c r="V1901" i="5"/>
  <c r="V1902" i="5"/>
  <c r="V1903" i="5"/>
  <c r="V1904" i="5"/>
  <c r="V1905" i="5"/>
  <c r="V1906" i="5"/>
  <c r="V1907" i="5"/>
  <c r="V1908" i="5"/>
  <c r="V1909" i="5"/>
  <c r="V1910" i="5"/>
  <c r="V1911" i="5"/>
  <c r="V1912" i="5"/>
  <c r="V1913" i="5"/>
  <c r="V1914" i="5"/>
  <c r="V1915" i="5"/>
  <c r="V1916" i="5"/>
  <c r="V1917" i="5"/>
  <c r="V1918" i="5"/>
  <c r="V1919" i="5"/>
  <c r="V1920" i="5"/>
  <c r="V1921" i="5"/>
  <c r="V1922" i="5"/>
  <c r="V1923" i="5"/>
  <c r="V1924" i="5"/>
  <c r="V1925" i="5"/>
  <c r="V1926" i="5"/>
  <c r="V1927" i="5"/>
  <c r="V1928" i="5"/>
  <c r="V1929" i="5"/>
  <c r="V1930" i="5"/>
  <c r="V1931" i="5"/>
  <c r="V1932" i="5"/>
  <c r="V1933" i="5"/>
  <c r="V1934" i="5"/>
  <c r="V1935" i="5"/>
  <c r="V1936" i="5"/>
  <c r="V1937" i="5"/>
  <c r="V1938" i="5"/>
  <c r="V1939" i="5"/>
  <c r="V1940" i="5"/>
  <c r="V1941" i="5"/>
  <c r="V1942" i="5"/>
  <c r="V1943" i="5"/>
  <c r="V1944" i="5"/>
  <c r="V1945" i="5"/>
  <c r="V1946" i="5"/>
  <c r="V1947" i="5"/>
  <c r="V1948" i="5"/>
  <c r="V1949" i="5"/>
  <c r="V1950" i="5"/>
  <c r="V1951" i="5"/>
  <c r="V1952" i="5"/>
  <c r="V1953" i="5"/>
  <c r="V1954" i="5"/>
  <c r="V1955" i="5"/>
  <c r="V1956" i="5"/>
  <c r="V1957" i="5"/>
  <c r="V1958" i="5"/>
  <c r="V1959" i="5"/>
  <c r="V1960" i="5"/>
  <c r="V1961" i="5"/>
  <c r="V1962" i="5"/>
  <c r="V1963" i="5"/>
  <c r="V1964" i="5"/>
  <c r="V1965" i="5"/>
  <c r="V1966" i="5"/>
  <c r="V1967" i="5"/>
  <c r="V1968" i="5"/>
  <c r="V1969" i="5"/>
  <c r="V1970" i="5"/>
  <c r="V1971" i="5"/>
  <c r="V1972" i="5"/>
  <c r="V1973" i="5"/>
  <c r="V1974" i="5"/>
  <c r="V1975" i="5"/>
  <c r="V1976" i="5"/>
  <c r="V1977" i="5"/>
  <c r="V1978" i="5"/>
  <c r="V1979" i="5"/>
  <c r="V1980" i="5"/>
  <c r="V1981" i="5"/>
  <c r="V1982" i="5"/>
  <c r="V1983" i="5"/>
  <c r="V1984" i="5"/>
  <c r="V1985" i="5"/>
  <c r="V1986" i="5"/>
  <c r="V1987" i="5"/>
  <c r="V1988" i="5"/>
  <c r="V1989" i="5"/>
  <c r="V1990" i="5"/>
  <c r="V1991" i="5"/>
  <c r="V1992" i="5"/>
  <c r="V1993" i="5"/>
  <c r="V1994" i="5"/>
  <c r="V1995" i="5"/>
  <c r="V1996" i="5"/>
  <c r="V1997" i="5"/>
  <c r="V1998" i="5"/>
  <c r="V1999" i="5"/>
  <c r="V2000" i="5"/>
  <c r="V2001" i="5"/>
  <c r="V2002" i="5"/>
  <c r="V2003" i="5"/>
  <c r="V2004" i="5"/>
  <c r="V2005" i="5"/>
  <c r="V2006" i="5"/>
  <c r="V2007" i="5"/>
  <c r="V2008" i="5"/>
  <c r="V2009" i="5"/>
  <c r="V2010" i="5"/>
  <c r="V2011" i="5"/>
  <c r="V2012" i="5"/>
  <c r="V2013" i="5"/>
  <c r="V2014" i="5"/>
  <c r="V2015" i="5"/>
  <c r="V2016" i="5"/>
  <c r="V2017" i="5"/>
  <c r="V2018" i="5"/>
  <c r="V2019" i="5"/>
  <c r="V2020" i="5"/>
  <c r="V2021" i="5"/>
  <c r="V2022" i="5"/>
  <c r="V2023" i="5"/>
  <c r="V2024" i="5"/>
  <c r="V2025" i="5"/>
  <c r="V2026" i="5"/>
  <c r="V2027" i="5"/>
  <c r="V2028" i="5"/>
  <c r="V2029" i="5"/>
  <c r="V2030" i="5"/>
  <c r="V2031" i="5"/>
  <c r="V2032" i="5"/>
  <c r="V2033" i="5"/>
  <c r="V2034" i="5"/>
  <c r="V2035" i="5"/>
  <c r="V2036" i="5"/>
  <c r="V2037" i="5"/>
  <c r="V2038" i="5"/>
  <c r="V2039" i="5"/>
  <c r="V2040" i="5"/>
  <c r="V2041" i="5"/>
  <c r="V2042" i="5"/>
  <c r="V2043" i="5"/>
  <c r="V2044" i="5"/>
  <c r="V2045" i="5"/>
  <c r="V2046" i="5"/>
  <c r="V2047" i="5"/>
  <c r="V2048" i="5"/>
  <c r="V2049" i="5"/>
  <c r="V2050" i="5"/>
  <c r="V2051" i="5"/>
  <c r="V2052" i="5"/>
  <c r="V2053" i="5"/>
  <c r="V2054" i="5"/>
  <c r="V2055" i="5"/>
  <c r="V2056" i="5"/>
  <c r="V2057" i="5"/>
  <c r="V2058" i="5"/>
  <c r="V2059" i="5"/>
  <c r="V2060" i="5"/>
  <c r="V2061" i="5"/>
  <c r="V2062" i="5"/>
  <c r="V2063" i="5"/>
  <c r="V2064" i="5"/>
  <c r="V2065" i="5"/>
  <c r="V2066" i="5"/>
  <c r="V2067" i="5"/>
  <c r="V2068" i="5"/>
  <c r="V2069" i="5"/>
  <c r="V2070" i="5"/>
  <c r="V2071" i="5"/>
  <c r="V2072" i="5"/>
  <c r="V2073" i="5"/>
  <c r="V2074" i="5"/>
  <c r="V2075" i="5"/>
  <c r="V2076" i="5"/>
  <c r="V2077" i="5"/>
  <c r="V2078" i="5"/>
  <c r="V2079" i="5"/>
  <c r="V2080" i="5"/>
  <c r="V2081" i="5"/>
  <c r="V2082" i="5"/>
  <c r="V2083" i="5"/>
  <c r="V2084" i="5"/>
  <c r="V2085" i="5"/>
  <c r="V2086" i="5"/>
  <c r="V2087" i="5"/>
  <c r="V2088" i="5"/>
  <c r="V2089" i="5"/>
  <c r="V2090" i="5"/>
  <c r="V2091" i="5"/>
  <c r="V2092" i="5"/>
  <c r="V2093" i="5"/>
  <c r="V2094" i="5"/>
  <c r="V2095" i="5"/>
  <c r="V2096" i="5"/>
  <c r="V2097" i="5"/>
  <c r="V2098" i="5"/>
  <c r="V2099" i="5"/>
  <c r="V2100" i="5"/>
  <c r="V2101" i="5"/>
  <c r="V2102" i="5"/>
  <c r="V2103" i="5"/>
  <c r="V2104" i="5"/>
  <c r="V2105" i="5"/>
  <c r="V2106" i="5"/>
  <c r="V2107" i="5"/>
  <c r="V2108" i="5"/>
  <c r="V2109" i="5"/>
  <c r="V2110" i="5"/>
  <c r="V2111" i="5"/>
  <c r="V2112" i="5"/>
  <c r="V2113" i="5"/>
  <c r="V2114" i="5"/>
  <c r="V2115" i="5"/>
  <c r="V2116" i="5"/>
  <c r="V2117" i="5"/>
  <c r="V2118" i="5"/>
  <c r="V2119" i="5"/>
  <c r="V2120" i="5"/>
  <c r="V2121" i="5"/>
  <c r="V2122" i="5"/>
  <c r="V2123" i="5"/>
  <c r="V2124" i="5"/>
  <c r="V2125" i="5"/>
  <c r="V2126" i="5"/>
  <c r="V2127" i="5"/>
  <c r="V2128" i="5"/>
  <c r="V2129" i="5"/>
  <c r="V2130" i="5"/>
  <c r="V2131" i="5"/>
  <c r="V2132" i="5"/>
  <c r="V2133" i="5"/>
  <c r="V2134" i="5"/>
  <c r="V2135" i="5"/>
  <c r="V2136" i="5"/>
  <c r="V2137" i="5"/>
  <c r="V2138" i="5"/>
  <c r="V2139" i="5"/>
  <c r="V2140" i="5"/>
  <c r="V2141" i="5"/>
  <c r="V2142" i="5"/>
  <c r="V2143" i="5"/>
  <c r="V2144" i="5"/>
  <c r="V2145" i="5"/>
  <c r="V2146" i="5"/>
  <c r="V2147" i="5"/>
  <c r="V2148" i="5"/>
  <c r="V2149" i="5"/>
  <c r="V2150" i="5"/>
  <c r="V2151" i="5"/>
  <c r="V2152" i="5"/>
  <c r="V2153" i="5"/>
  <c r="V2154" i="5"/>
  <c r="V2155" i="5"/>
  <c r="V2156" i="5"/>
  <c r="V2157" i="5"/>
  <c r="V2158" i="5"/>
  <c r="V2159" i="5"/>
  <c r="V2160" i="5"/>
  <c r="V2161" i="5"/>
  <c r="V2162" i="5"/>
  <c r="V2163" i="5"/>
  <c r="V2164" i="5"/>
  <c r="V2165" i="5"/>
  <c r="V2166" i="5"/>
  <c r="V2167" i="5"/>
  <c r="V2168" i="5"/>
  <c r="V2169" i="5"/>
  <c r="V2170" i="5"/>
  <c r="V2171" i="5"/>
  <c r="V2172" i="5"/>
  <c r="V2173" i="5"/>
  <c r="V2174" i="5"/>
  <c r="V2175" i="5"/>
  <c r="V2176" i="5"/>
  <c r="V2177" i="5"/>
  <c r="V2178" i="5"/>
  <c r="V2179" i="5"/>
  <c r="V2180" i="5"/>
  <c r="V2181" i="5"/>
  <c r="V2182" i="5"/>
  <c r="V2183" i="5"/>
  <c r="V2184" i="5"/>
  <c r="V2185" i="5"/>
  <c r="V2186" i="5"/>
  <c r="V2187" i="5"/>
  <c r="V2188" i="5"/>
  <c r="V2189" i="5"/>
  <c r="V2190" i="5"/>
  <c r="V2191" i="5"/>
  <c r="V2192" i="5"/>
  <c r="V2193" i="5"/>
  <c r="V2194" i="5"/>
  <c r="V2195" i="5"/>
  <c r="V2196" i="5"/>
  <c r="V2197" i="5"/>
  <c r="V2198" i="5"/>
  <c r="V2199" i="5"/>
  <c r="V2200" i="5"/>
  <c r="V2201" i="5"/>
  <c r="V2202" i="5"/>
  <c r="V2203" i="5"/>
  <c r="V2204" i="5"/>
  <c r="V2205" i="5"/>
  <c r="V2206" i="5"/>
  <c r="V2207" i="5"/>
  <c r="V2208" i="5"/>
  <c r="V2209" i="5"/>
  <c r="V2210" i="5"/>
  <c r="V2211" i="5"/>
  <c r="V2212" i="5"/>
  <c r="V2213" i="5"/>
  <c r="V2214" i="5"/>
  <c r="V2215" i="5"/>
  <c r="V2216" i="5"/>
  <c r="V2217" i="5"/>
  <c r="V2218" i="5"/>
  <c r="V2219" i="5"/>
  <c r="V2220" i="5"/>
  <c r="V2221" i="5"/>
  <c r="V2222" i="5"/>
  <c r="V2223" i="5"/>
  <c r="V2224" i="5"/>
  <c r="V2225" i="5"/>
  <c r="V2226" i="5"/>
  <c r="V2227" i="5"/>
  <c r="V2228" i="5"/>
  <c r="V2229" i="5"/>
  <c r="V2230" i="5"/>
  <c r="V2231" i="5"/>
  <c r="V2232" i="5"/>
  <c r="V2233" i="5"/>
  <c r="V2234" i="5"/>
  <c r="V2235" i="5"/>
  <c r="V2236" i="5"/>
  <c r="V2237" i="5"/>
  <c r="V2238" i="5"/>
  <c r="V2239" i="5"/>
  <c r="V2240" i="5"/>
  <c r="V2241" i="5"/>
  <c r="V2242" i="5"/>
  <c r="V2243" i="5"/>
  <c r="V2244" i="5"/>
  <c r="V2245" i="5"/>
  <c r="V2246" i="5"/>
  <c r="V2247" i="5"/>
  <c r="V2248" i="5"/>
  <c r="V2249" i="5"/>
  <c r="V2250" i="5"/>
  <c r="V2251" i="5"/>
  <c r="V2252" i="5"/>
  <c r="V2253" i="5"/>
  <c r="V2254" i="5"/>
  <c r="V2255" i="5"/>
  <c r="V2256" i="5"/>
  <c r="V2257" i="5"/>
  <c r="V2258" i="5"/>
  <c r="V2259" i="5"/>
  <c r="V2260" i="5"/>
  <c r="V2261" i="5"/>
  <c r="V2262" i="5"/>
  <c r="V2263" i="5"/>
  <c r="V2264" i="5"/>
  <c r="V2265" i="5"/>
  <c r="V2266" i="5"/>
  <c r="V2267" i="5"/>
  <c r="V2268" i="5"/>
  <c r="V2269" i="5"/>
  <c r="V2270" i="5"/>
  <c r="V2271" i="5"/>
  <c r="V2272" i="5"/>
  <c r="V2273" i="5"/>
  <c r="V2274" i="5"/>
  <c r="V2275" i="5"/>
  <c r="V2276" i="5"/>
  <c r="V2277" i="5"/>
  <c r="V2278" i="5"/>
  <c r="V2279" i="5"/>
  <c r="V2280" i="5"/>
  <c r="V2281" i="5"/>
  <c r="V2282" i="5"/>
  <c r="V2283" i="5"/>
  <c r="V2284" i="5"/>
  <c r="V2285" i="5"/>
  <c r="V2286" i="5"/>
  <c r="V2287" i="5"/>
  <c r="V2288" i="5"/>
  <c r="V2289" i="5"/>
  <c r="V2290" i="5"/>
  <c r="V2291" i="5"/>
  <c r="V2292" i="5"/>
  <c r="V2293" i="5"/>
  <c r="V2294" i="5"/>
  <c r="V2295" i="5"/>
  <c r="V2296" i="5"/>
  <c r="V2297" i="5"/>
  <c r="V2298" i="5"/>
  <c r="V2299" i="5"/>
  <c r="V2300" i="5"/>
  <c r="V2301" i="5"/>
  <c r="V2302" i="5"/>
  <c r="V2303" i="5"/>
  <c r="V2304" i="5"/>
  <c r="V2305" i="5"/>
  <c r="V2306" i="5"/>
  <c r="V2307" i="5"/>
  <c r="V2308" i="5"/>
  <c r="V2309" i="5"/>
  <c r="V2310" i="5"/>
  <c r="V2311" i="5"/>
  <c r="V2312" i="5"/>
  <c r="V2313" i="5"/>
  <c r="V2314" i="5"/>
  <c r="V2315" i="5"/>
  <c r="V2316" i="5"/>
  <c r="V2317" i="5"/>
  <c r="V2318" i="5"/>
  <c r="V2319" i="5"/>
  <c r="V2320" i="5"/>
  <c r="V2321" i="5"/>
  <c r="V2322" i="5"/>
  <c r="V2323" i="5"/>
  <c r="V2324" i="5"/>
  <c r="V2325" i="5"/>
  <c r="V2326" i="5"/>
  <c r="V2327" i="5"/>
  <c r="V2328" i="5"/>
  <c r="V2329" i="5"/>
  <c r="V2330" i="5"/>
  <c r="V2331" i="5"/>
  <c r="V2332" i="5"/>
  <c r="V2333" i="5"/>
  <c r="V2334" i="5"/>
  <c r="V2335" i="5"/>
  <c r="V2336" i="5"/>
  <c r="V2337" i="5"/>
  <c r="V2338" i="5"/>
  <c r="V2339" i="5"/>
  <c r="V2340" i="5"/>
  <c r="V2341" i="5"/>
  <c r="V2342" i="5"/>
  <c r="V2343" i="5"/>
  <c r="V2344" i="5"/>
  <c r="V2345" i="5"/>
  <c r="V2346" i="5"/>
  <c r="V2347" i="5"/>
  <c r="V2348" i="5"/>
  <c r="V2349" i="5"/>
  <c r="V2350" i="5"/>
  <c r="V2351" i="5"/>
  <c r="V2352" i="5"/>
  <c r="V2353" i="5"/>
  <c r="V2354" i="5"/>
  <c r="V2355" i="5"/>
  <c r="V2356" i="5"/>
  <c r="V2357" i="5"/>
  <c r="V2358" i="5"/>
  <c r="V2359" i="5"/>
  <c r="V2360" i="5"/>
  <c r="V2361" i="5"/>
  <c r="V2362" i="5"/>
  <c r="V2363" i="5"/>
  <c r="V2364" i="5"/>
  <c r="V2365" i="5"/>
  <c r="V2366" i="5"/>
  <c r="V2367" i="5"/>
  <c r="V2368" i="5"/>
  <c r="V2369" i="5"/>
  <c r="V2370" i="5"/>
  <c r="V2371" i="5"/>
  <c r="V2372" i="5"/>
  <c r="V2373" i="5"/>
  <c r="V2374" i="5"/>
  <c r="V2375" i="5"/>
  <c r="V2376" i="5"/>
  <c r="V2377" i="5"/>
  <c r="V2378" i="5"/>
  <c r="V2379" i="5"/>
  <c r="V2380" i="5"/>
  <c r="V2381" i="5"/>
  <c r="V2382" i="5"/>
  <c r="V2383" i="5"/>
  <c r="V2384" i="5"/>
  <c r="V2385" i="5"/>
  <c r="V2386" i="5"/>
  <c r="V2387" i="5"/>
  <c r="V2388" i="5"/>
  <c r="V2389" i="5"/>
  <c r="V2390" i="5"/>
  <c r="V2391" i="5"/>
  <c r="V2392" i="5"/>
  <c r="V2393" i="5"/>
  <c r="V2394" i="5"/>
  <c r="V2395" i="5"/>
  <c r="V2396" i="5"/>
  <c r="V2397" i="5"/>
  <c r="V2398" i="5"/>
  <c r="V2399" i="5"/>
  <c r="V2400" i="5"/>
  <c r="V2401" i="5"/>
  <c r="V2402" i="5"/>
  <c r="V2403" i="5"/>
  <c r="V2404" i="5"/>
  <c r="V2405" i="5"/>
  <c r="V2406" i="5"/>
  <c r="V2407" i="5"/>
  <c r="V2408" i="5"/>
  <c r="V2409" i="5"/>
  <c r="V2410" i="5"/>
  <c r="V2411" i="5"/>
  <c r="V2412" i="5"/>
  <c r="V2413" i="5"/>
  <c r="V2414" i="5"/>
  <c r="V2415" i="5"/>
  <c r="V2416" i="5"/>
  <c r="V2417" i="5"/>
  <c r="V2418" i="5"/>
  <c r="V2419" i="5"/>
  <c r="V2420" i="5"/>
  <c r="V2421" i="5"/>
  <c r="V2422" i="5"/>
  <c r="V2423" i="5"/>
  <c r="V2424" i="5"/>
  <c r="V2425" i="5"/>
  <c r="V2426" i="5"/>
  <c r="V2427" i="5"/>
  <c r="V2428" i="5"/>
  <c r="V2429" i="5"/>
  <c r="V2430" i="5"/>
  <c r="V2431" i="5"/>
  <c r="V2432" i="5"/>
  <c r="V2433" i="5"/>
  <c r="V2434" i="5"/>
  <c r="V2435" i="5"/>
  <c r="V2436" i="5"/>
  <c r="V2437" i="5"/>
  <c r="V2438" i="5"/>
  <c r="V2439" i="5"/>
  <c r="V2440" i="5"/>
  <c r="V2441" i="5"/>
  <c r="V2442" i="5"/>
  <c r="V2443" i="5"/>
  <c r="V2444" i="5"/>
  <c r="V2445" i="5"/>
  <c r="V2446" i="5"/>
  <c r="V2447" i="5"/>
  <c r="V2448" i="5"/>
  <c r="V2449" i="5"/>
  <c r="V2450" i="5"/>
  <c r="V2451" i="5"/>
  <c r="V2452" i="5"/>
  <c r="V2453" i="5"/>
  <c r="V2454" i="5"/>
  <c r="V2455" i="5"/>
  <c r="V2456" i="5"/>
  <c r="V2457" i="5"/>
  <c r="V2458" i="5"/>
  <c r="V2459" i="5"/>
  <c r="V2460" i="5"/>
  <c r="V2461" i="5"/>
  <c r="V2462" i="5"/>
  <c r="V2463" i="5"/>
  <c r="V2464" i="5"/>
  <c r="V2465" i="5"/>
  <c r="V2466" i="5"/>
  <c r="V2467" i="5"/>
  <c r="V2468" i="5"/>
  <c r="V2469" i="5"/>
  <c r="V2470" i="5"/>
  <c r="V2471" i="5"/>
  <c r="V2472" i="5"/>
  <c r="V2473" i="5"/>
  <c r="V2474" i="5"/>
  <c r="V2475" i="5"/>
  <c r="V2476" i="5"/>
  <c r="V2477" i="5"/>
  <c r="V2478" i="5"/>
  <c r="V2479" i="5"/>
  <c r="V2480" i="5"/>
  <c r="V2481" i="5"/>
  <c r="V2482" i="5"/>
  <c r="V2483" i="5"/>
  <c r="V2484" i="5"/>
  <c r="V2485" i="5"/>
  <c r="V2486" i="5"/>
  <c r="V2487" i="5"/>
  <c r="V2488" i="5"/>
  <c r="V2489" i="5"/>
  <c r="V2490" i="5"/>
  <c r="V2491" i="5"/>
  <c r="V2492" i="5"/>
  <c r="V2493" i="5"/>
  <c r="V2494" i="5"/>
  <c r="V2495" i="5"/>
  <c r="V2496" i="5"/>
  <c r="V2497" i="5"/>
  <c r="V2498" i="5"/>
  <c r="V2499" i="5"/>
  <c r="V2500" i="5"/>
  <c r="V2501" i="5"/>
  <c r="V2502" i="5"/>
  <c r="V2503" i="5"/>
  <c r="V2504" i="5"/>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H6" i="6"/>
  <c r="D6" i="6"/>
  <c r="B4" i="6"/>
  <c r="G4" i="6"/>
  <c r="H4" i="6"/>
  <c r="D4" i="6"/>
  <c r="AB2505" i="5"/>
  <c r="T2505" i="5"/>
  <c r="S2505" i="5"/>
  <c r="S2492" i="5"/>
  <c r="S2488" i="5"/>
  <c r="S2484" i="5"/>
  <c r="S2482" i="5"/>
  <c r="S2481" i="5"/>
  <c r="S2480" i="5"/>
  <c r="S2475" i="5"/>
  <c r="R2474" i="5"/>
  <c r="T2474" i="5"/>
  <c r="S2473" i="5"/>
  <c r="R2472" i="5"/>
  <c r="T2472" i="5"/>
  <c r="T2471" i="5"/>
  <c r="S2469" i="5"/>
  <c r="S2467" i="5"/>
  <c r="R2466" i="5"/>
  <c r="T2466" i="5"/>
  <c r="S2465" i="5"/>
  <c r="T2464" i="5"/>
  <c r="T2462" i="5"/>
  <c r="S2461" i="5"/>
  <c r="T2460" i="5"/>
  <c r="S2459" i="5"/>
  <c r="T2458" i="5"/>
  <c r="S2457" i="5"/>
  <c r="T2456" i="5"/>
  <c r="S2454" i="5"/>
  <c r="T2451" i="5"/>
  <c r="S2449" i="5"/>
  <c r="T2447" i="5"/>
  <c r="T2446" i="5"/>
  <c r="S2445" i="5"/>
  <c r="T2443" i="5"/>
  <c r="R2442" i="5"/>
  <c r="T2439" i="5"/>
  <c r="T2437" i="5"/>
  <c r="S2436" i="5"/>
  <c r="S2433" i="5"/>
  <c r="T2432" i="5"/>
  <c r="S2431" i="5"/>
  <c r="T2430" i="5"/>
  <c r="S2429" i="5"/>
  <c r="T2428" i="5"/>
  <c r="S2427" i="5"/>
  <c r="T2426" i="5"/>
  <c r="S2425" i="5"/>
  <c r="T2422" i="5"/>
  <c r="S2421" i="5"/>
  <c r="S2420" i="5"/>
  <c r="S2419" i="5"/>
  <c r="T2418" i="5"/>
  <c r="S2417" i="5"/>
  <c r="S2416" i="5"/>
  <c r="S2415" i="5"/>
  <c r="T2414" i="5"/>
  <c r="S2413" i="5"/>
  <c r="T2412" i="5"/>
  <c r="S2409" i="5"/>
  <c r="T2408" i="5"/>
  <c r="T2407" i="5"/>
  <c r="S2405" i="5"/>
  <c r="S2404" i="5"/>
  <c r="T2403" i="5"/>
  <c r="S2401" i="5"/>
  <c r="T2400" i="5"/>
  <c r="T2398" i="5"/>
  <c r="S2397" i="5"/>
  <c r="S2396" i="5"/>
  <c r="R2395" i="5"/>
  <c r="S2393" i="5"/>
  <c r="T2392" i="5"/>
  <c r="S2391" i="5"/>
  <c r="R2390" i="5"/>
  <c r="S2389" i="5"/>
  <c r="T2387" i="5"/>
  <c r="T2386" i="5"/>
  <c r="S2385" i="5"/>
  <c r="R2382" i="5"/>
  <c r="S2380" i="5"/>
  <c r="S2378" i="5"/>
  <c r="S2377" i="5"/>
  <c r="S2376" i="5"/>
  <c r="T2375" i="5"/>
  <c r="T2374" i="5"/>
  <c r="S2373" i="5"/>
  <c r="T2372" i="5"/>
  <c r="S2370" i="5"/>
  <c r="S2369" i="5"/>
  <c r="S2368" i="5"/>
  <c r="T2367" i="5"/>
  <c r="R2365" i="5"/>
  <c r="S2365" i="5"/>
  <c r="T2364" i="5"/>
  <c r="S2363" i="5"/>
  <c r="S2362" i="5"/>
  <c r="S2361" i="5"/>
  <c r="S2360" i="5"/>
  <c r="T2359" i="5"/>
  <c r="T2358" i="5"/>
  <c r="S2356" i="5"/>
  <c r="S2355" i="5"/>
  <c r="S2354" i="5"/>
  <c r="S2353" i="5"/>
  <c r="S2351" i="5"/>
  <c r="T2350" i="5"/>
  <c r="S2347" i="5"/>
  <c r="S2343" i="5"/>
  <c r="S2341" i="5"/>
  <c r="S2337" i="5"/>
  <c r="S2336" i="5"/>
  <c r="S2335" i="5"/>
  <c r="T2334" i="5"/>
  <c r="T2333" i="5"/>
  <c r="S2332" i="5"/>
  <c r="S2331" i="5"/>
  <c r="T2330" i="5"/>
  <c r="T2329" i="5"/>
  <c r="S2328" i="5"/>
  <c r="S2327" i="5"/>
  <c r="T2326" i="5"/>
  <c r="T2325" i="5"/>
  <c r="S2323" i="5"/>
  <c r="T2322" i="5"/>
  <c r="T2321" i="5"/>
  <c r="T2320" i="5"/>
  <c r="T2318" i="5"/>
  <c r="S2317" i="5"/>
  <c r="S2314" i="5"/>
  <c r="T2313" i="5"/>
  <c r="T2309" i="5"/>
  <c r="T2308" i="5"/>
  <c r="S2306" i="5"/>
  <c r="S2302" i="5"/>
  <c r="S2301" i="5"/>
  <c r="T2300" i="5"/>
  <c r="T2298" i="5"/>
  <c r="S2297" i="5"/>
  <c r="T2296" i="5"/>
  <c r="S2293" i="5"/>
  <c r="T2292" i="5"/>
  <c r="T2290" i="5"/>
  <c r="T2289" i="5"/>
  <c r="S2288" i="5"/>
  <c r="S2285" i="5"/>
  <c r="T2284" i="5"/>
  <c r="X2282" i="5"/>
  <c r="T2282" i="5"/>
  <c r="T2280" i="5"/>
  <c r="S2278" i="5"/>
  <c r="S2277" i="5"/>
  <c r="T2275" i="5"/>
  <c r="S2274" i="5"/>
  <c r="T2273" i="5"/>
  <c r="T2271" i="5"/>
  <c r="T2270" i="5"/>
  <c r="T2268" i="5"/>
  <c r="S2267" i="5"/>
  <c r="S2266" i="5"/>
  <c r="T2265" i="5"/>
  <c r="S2264" i="5"/>
  <c r="S2263" i="5"/>
  <c r="S2262" i="5"/>
  <c r="T2261" i="5"/>
  <c r="S2260" i="5"/>
  <c r="S2258" i="5"/>
  <c r="T2257" i="5"/>
  <c r="S2256" i="5"/>
  <c r="R2255" i="5"/>
  <c r="T2254" i="5"/>
  <c r="T2253" i="5"/>
  <c r="S2251" i="5"/>
  <c r="T2250" i="5"/>
  <c r="R2249" i="5"/>
  <c r="T2249" i="5"/>
  <c r="S2248" i="5"/>
  <c r="S2247" i="5"/>
  <c r="S2246" i="5"/>
  <c r="T2245" i="5"/>
  <c r="R2243" i="5"/>
  <c r="S2243" i="5"/>
  <c r="T2241" i="5"/>
  <c r="S2240" i="5"/>
  <c r="S2239" i="5"/>
  <c r="T2237" i="5"/>
  <c r="S2235" i="5"/>
  <c r="T2232" i="5"/>
  <c r="S2231" i="5"/>
  <c r="T2230" i="5"/>
  <c r="T2226" i="5"/>
  <c r="S2224" i="5"/>
  <c r="R2223" i="5"/>
  <c r="S2223" i="5"/>
  <c r="S2221" i="5"/>
  <c r="T2220" i="5"/>
  <c r="S2219" i="5"/>
  <c r="T2218" i="5"/>
  <c r="T2216" i="5"/>
  <c r="S2215" i="5"/>
  <c r="S2213" i="5"/>
  <c r="T2212" i="5"/>
  <c r="S2211" i="5"/>
  <c r="T2209" i="5"/>
  <c r="T2208" i="5"/>
  <c r="S2207" i="5"/>
  <c r="S2205" i="5"/>
  <c r="S2203" i="5"/>
  <c r="T2201" i="5"/>
  <c r="T2200" i="5"/>
  <c r="S2199" i="5"/>
  <c r="S2198" i="5"/>
  <c r="S2197" i="5"/>
  <c r="S2195" i="5"/>
  <c r="T2193" i="5"/>
  <c r="T2192" i="5"/>
  <c r="R2191" i="5"/>
  <c r="S2189" i="5"/>
  <c r="S2188" i="5"/>
  <c r="R2186" i="5"/>
  <c r="S2185" i="5"/>
  <c r="S2184" i="5"/>
  <c r="T2183" i="5"/>
  <c r="S2181" i="5"/>
  <c r="T2180" i="5"/>
  <c r="T2179" i="5"/>
  <c r="R2178" i="5"/>
  <c r="T2176" i="5"/>
  <c r="R2174" i="5"/>
  <c r="S2173" i="5"/>
  <c r="T2172" i="5"/>
  <c r="T2171" i="5"/>
  <c r="T2167" i="5"/>
  <c r="S2163" i="5"/>
  <c r="S2161" i="5"/>
  <c r="S2159" i="5"/>
  <c r="R2158" i="5"/>
  <c r="S2157" i="5"/>
  <c r="S2155" i="5"/>
  <c r="T2153" i="5"/>
  <c r="S2149" i="5"/>
  <c r="S2148" i="5"/>
  <c r="R2146" i="5"/>
  <c r="S2145" i="5"/>
  <c r="S2144" i="5"/>
  <c r="R2142" i="5"/>
  <c r="S2141" i="5"/>
  <c r="T2140" i="5"/>
  <c r="T2139" i="5"/>
  <c r="S2137" i="5"/>
  <c r="S2136" i="5"/>
  <c r="T2135" i="5"/>
  <c r="S2133" i="5"/>
  <c r="S2132" i="5"/>
  <c r="S2131" i="5"/>
  <c r="T2128" i="5"/>
  <c r="S2127" i="5"/>
  <c r="T2124" i="5"/>
  <c r="T2123" i="5"/>
  <c r="T2121" i="5"/>
  <c r="T2120" i="5"/>
  <c r="T2119" i="5"/>
  <c r="T2116" i="5"/>
  <c r="S2112" i="5"/>
  <c r="T2111" i="5"/>
  <c r="S2107" i="5"/>
  <c r="T2105" i="5"/>
  <c r="T2104" i="5"/>
  <c r="T2103" i="5"/>
  <c r="T2100" i="5"/>
  <c r="T2099" i="5"/>
  <c r="T2097" i="5"/>
  <c r="S2095" i="5"/>
  <c r="T2093" i="5"/>
  <c r="S2091" i="5"/>
  <c r="T2089" i="5"/>
  <c r="T2086" i="5"/>
  <c r="T2084" i="5"/>
  <c r="S2080" i="5"/>
  <c r="T2079" i="5"/>
  <c r="T2078" i="5"/>
  <c r="T2076" i="5"/>
  <c r="X2075" i="5"/>
  <c r="S2075" i="5"/>
  <c r="T2074" i="5"/>
  <c r="X2072" i="5"/>
  <c r="S2070" i="5"/>
  <c r="T2068" i="5"/>
  <c r="S2067" i="5"/>
  <c r="T2066" i="5"/>
  <c r="S2064" i="5"/>
  <c r="T2062" i="5"/>
  <c r="S2060" i="5"/>
  <c r="S2059" i="5"/>
  <c r="T2058" i="5"/>
  <c r="S2051" i="5"/>
  <c r="T2047" i="5"/>
  <c r="T2044" i="5"/>
  <c r="S2043" i="5"/>
  <c r="T2042" i="5"/>
  <c r="T2039" i="5"/>
  <c r="T2038" i="5"/>
  <c r="T2036" i="5"/>
  <c r="S2034" i="5"/>
  <c r="T2028" i="5"/>
  <c r="T2027" i="5"/>
  <c r="T2024" i="5"/>
  <c r="T2022" i="5"/>
  <c r="S2019" i="5"/>
  <c r="T2018" i="5"/>
  <c r="T2016" i="5"/>
  <c r="T2015" i="5"/>
  <c r="T2014" i="5"/>
  <c r="R2013" i="5"/>
  <c r="T2012" i="5"/>
  <c r="T2011" i="5"/>
  <c r="R2009" i="5"/>
  <c r="T2008" i="5"/>
  <c r="T2006" i="5"/>
  <c r="T2004" i="5"/>
  <c r="T2003" i="5"/>
  <c r="T2000" i="5"/>
  <c r="T1999" i="5"/>
  <c r="T1998" i="5"/>
  <c r="S1994" i="5"/>
  <c r="T1990" i="5"/>
  <c r="S1986" i="5"/>
  <c r="R1985" i="5"/>
  <c r="T1983" i="5"/>
  <c r="S1982" i="5"/>
  <c r="S1979" i="5"/>
  <c r="T1976" i="5"/>
  <c r="T1975" i="5"/>
  <c r="S1974" i="5"/>
  <c r="T1971" i="5"/>
  <c r="T1968" i="5"/>
  <c r="S1967" i="5"/>
  <c r="T1964" i="5"/>
  <c r="S1963" i="5"/>
  <c r="S1962" i="5"/>
  <c r="R1961" i="5"/>
  <c r="T1959" i="5"/>
  <c r="T1958" i="5"/>
  <c r="T1956" i="5"/>
  <c r="T1955" i="5"/>
  <c r="S1954" i="5"/>
  <c r="T1952" i="5"/>
  <c r="T1951" i="5"/>
  <c r="T1948" i="5"/>
  <c r="T1947" i="5"/>
  <c r="T1944" i="5"/>
  <c r="T1942" i="5"/>
  <c r="T1940" i="5"/>
  <c r="S1939" i="5"/>
  <c r="T1938" i="5"/>
  <c r="T1936" i="5"/>
  <c r="T1935" i="5"/>
  <c r="T1932" i="5"/>
  <c r="T1931" i="5"/>
  <c r="T1927" i="5"/>
  <c r="T1926" i="5"/>
  <c r="S1921" i="5"/>
  <c r="T1919" i="5"/>
  <c r="S1917" i="5"/>
  <c r="R1913" i="5"/>
  <c r="S1913" i="5"/>
  <c r="T1911" i="5"/>
  <c r="S1909" i="5"/>
  <c r="T1907" i="5"/>
  <c r="S1905" i="5"/>
  <c r="T1904" i="5"/>
  <c r="S1901" i="5"/>
  <c r="T1900" i="5"/>
  <c r="T1899" i="5"/>
  <c r="S1898" i="5"/>
  <c r="S1897" i="5"/>
  <c r="T1896" i="5"/>
  <c r="S1893" i="5"/>
  <c r="T1892" i="5"/>
  <c r="S1891" i="5"/>
  <c r="S1889" i="5"/>
  <c r="T1888" i="5"/>
  <c r="T1887" i="5"/>
  <c r="S1885" i="5"/>
  <c r="T1884" i="5"/>
  <c r="S1883" i="5"/>
  <c r="R1882" i="5"/>
  <c r="S1881" i="5"/>
  <c r="T1880" i="5"/>
  <c r="T1879" i="5"/>
  <c r="S1877" i="5"/>
  <c r="T1876" i="5"/>
  <c r="T1874" i="5"/>
  <c r="T1871" i="5"/>
  <c r="T1868" i="5"/>
  <c r="T1864" i="5"/>
  <c r="T1860" i="5"/>
  <c r="S1859" i="5"/>
  <c r="S1855" i="5"/>
  <c r="T1853" i="5"/>
  <c r="T1850" i="5"/>
  <c r="T1843" i="5"/>
  <c r="S1841" i="5"/>
  <c r="T1839" i="5"/>
  <c r="T1835" i="5"/>
  <c r="T1834" i="5"/>
  <c r="S1833" i="5"/>
  <c r="T1832" i="5"/>
  <c r="T1830" i="5"/>
  <c r="S1826" i="5"/>
  <c r="T1825" i="5"/>
  <c r="R1824" i="5"/>
  <c r="T1824" i="5"/>
  <c r="T1823" i="5"/>
  <c r="T1822" i="5"/>
  <c r="T1821" i="5"/>
  <c r="T1818" i="5"/>
  <c r="R1816" i="5"/>
  <c r="T1816" i="5"/>
  <c r="S1814" i="5"/>
  <c r="T1812" i="5"/>
  <c r="T1810" i="5"/>
  <c r="T1809" i="5"/>
  <c r="S1808" i="5"/>
  <c r="T1807" i="5"/>
  <c r="T1806" i="5"/>
  <c r="S1804" i="5"/>
  <c r="S1801" i="5"/>
  <c r="S1800" i="5"/>
  <c r="T1798" i="5"/>
  <c r="S1797" i="5"/>
  <c r="S1796" i="5"/>
  <c r="S1795" i="5"/>
  <c r="T1794" i="5"/>
  <c r="S1792" i="5"/>
  <c r="S1791" i="5"/>
  <c r="S1789" i="5"/>
  <c r="S1788" i="5"/>
  <c r="T1787" i="5"/>
  <c r="S1785" i="5"/>
  <c r="S1784" i="5"/>
  <c r="S1781" i="5"/>
  <c r="S1780" i="5"/>
  <c r="T1778" i="5"/>
  <c r="S1776" i="5"/>
  <c r="T1774" i="5"/>
  <c r="S1773" i="5"/>
  <c r="S1772" i="5"/>
  <c r="T1770" i="5"/>
  <c r="S1769" i="5"/>
  <c r="R1768" i="5"/>
  <c r="S1768" i="5"/>
  <c r="S1767" i="5"/>
  <c r="T1766" i="5"/>
  <c r="R1764" i="5"/>
  <c r="S1764" i="5"/>
  <c r="S1763" i="5"/>
  <c r="T1762" i="5"/>
  <c r="S1761" i="5"/>
  <c r="S1760" i="5"/>
  <c r="T1759" i="5"/>
  <c r="T1758" i="5"/>
  <c r="T1757" i="5"/>
  <c r="S1756" i="5"/>
  <c r="T1755" i="5"/>
  <c r="T1754" i="5"/>
  <c r="T1752" i="5"/>
  <c r="T1750" i="5"/>
  <c r="T1749" i="5"/>
  <c r="T1748" i="5"/>
  <c r="S1747" i="5"/>
  <c r="T1746" i="5"/>
  <c r="S1745" i="5"/>
  <c r="T1742" i="5"/>
  <c r="S1741" i="5"/>
  <c r="T1739" i="5"/>
  <c r="T1737" i="5"/>
  <c r="T1736" i="5"/>
  <c r="T1735" i="5"/>
  <c r="T1734" i="5"/>
  <c r="T1729" i="5"/>
  <c r="T1728" i="5"/>
  <c r="T1725" i="5"/>
  <c r="T1721" i="5"/>
  <c r="T1719" i="5"/>
  <c r="T1717" i="5"/>
  <c r="T1716" i="5"/>
  <c r="T1712" i="5"/>
  <c r="T1711" i="5"/>
  <c r="T1709" i="5"/>
  <c r="T1707" i="5"/>
  <c r="S1704" i="5"/>
  <c r="T1701" i="5"/>
  <c r="T1700" i="5"/>
  <c r="T1699" i="5"/>
  <c r="T1697" i="5"/>
  <c r="T1696" i="5"/>
  <c r="T1695" i="5"/>
  <c r="T1689" i="5"/>
  <c r="T1688" i="5"/>
  <c r="T1685" i="5"/>
  <c r="S1684" i="5"/>
  <c r="T1681" i="5"/>
  <c r="T1680" i="5"/>
  <c r="T1677" i="5"/>
  <c r="S1675" i="5"/>
  <c r="T1673" i="5"/>
  <c r="S1672" i="5"/>
  <c r="T1671" i="5"/>
  <c r="T1668" i="5"/>
  <c r="T1665" i="5"/>
  <c r="S1664" i="5"/>
  <c r="T1663" i="5"/>
  <c r="T1659" i="5"/>
  <c r="T1657" i="5"/>
  <c r="T1656" i="5"/>
  <c r="T1653" i="5"/>
  <c r="T1649" i="5"/>
  <c r="S1648" i="5"/>
  <c r="T1645" i="5"/>
  <c r="T1641" i="5"/>
  <c r="T1640" i="5"/>
  <c r="T1637" i="5"/>
  <c r="T1636" i="5"/>
  <c r="T1633" i="5"/>
  <c r="T1632" i="5"/>
  <c r="T1631" i="5"/>
  <c r="T1629" i="5"/>
  <c r="T1627" i="5"/>
  <c r="T1625" i="5"/>
  <c r="S1624" i="5"/>
  <c r="T1620" i="5"/>
  <c r="T1617" i="5"/>
  <c r="S1616" i="5"/>
  <c r="T1613" i="5"/>
  <c r="T1609" i="5"/>
  <c r="T1604" i="5"/>
  <c r="T1601" i="5"/>
  <c r="T1600" i="5"/>
  <c r="T1596" i="5"/>
  <c r="T1593" i="5"/>
  <c r="T1592" i="5"/>
  <c r="T1585" i="5"/>
  <c r="T1581" i="5"/>
  <c r="T1577" i="5"/>
  <c r="T1576" i="5"/>
  <c r="T1573" i="5"/>
  <c r="T1569" i="5"/>
  <c r="T1568" i="5"/>
  <c r="T1564" i="5"/>
  <c r="T1561" i="5"/>
  <c r="S1560" i="5"/>
  <c r="T1552" i="5"/>
  <c r="R1551" i="5"/>
  <c r="S1550" i="5"/>
  <c r="T1547" i="5"/>
  <c r="S1546" i="5"/>
  <c r="S1542" i="5"/>
  <c r="S1540" i="5"/>
  <c r="T1539" i="5"/>
  <c r="S1538" i="5"/>
  <c r="S1536" i="5"/>
  <c r="T1535" i="5"/>
  <c r="S1528" i="5"/>
  <c r="T1527" i="5"/>
  <c r="S1524" i="5"/>
  <c r="S1519" i="5"/>
  <c r="R1518" i="5"/>
  <c r="T1517" i="5"/>
  <c r="S1516" i="5"/>
  <c r="S1512" i="5"/>
  <c r="T1509" i="5"/>
  <c r="T1507" i="5"/>
  <c r="S1505" i="5"/>
  <c r="R1504" i="5"/>
  <c r="T1503" i="5"/>
  <c r="S1501" i="5"/>
  <c r="T1499" i="5"/>
  <c r="S1496" i="5"/>
  <c r="T1495" i="5"/>
  <c r="S1492" i="5"/>
  <c r="S1491" i="5"/>
  <c r="S1489" i="5"/>
  <c r="S1485" i="5"/>
  <c r="S1484" i="5"/>
  <c r="S1483" i="5"/>
  <c r="S1480" i="5"/>
  <c r="S1479" i="5"/>
  <c r="T1477" i="5"/>
  <c r="S1476" i="5"/>
  <c r="S1475" i="5"/>
  <c r="T1474" i="5"/>
  <c r="R1470" i="5"/>
  <c r="S1470" i="5"/>
  <c r="T1469" i="5"/>
  <c r="R1468" i="5"/>
  <c r="S1466" i="5"/>
  <c r="T1465" i="5"/>
  <c r="S1464" i="5"/>
  <c r="T1461" i="5"/>
  <c r="S1460" i="5"/>
  <c r="T1458" i="5"/>
  <c r="T1455" i="5"/>
  <c r="T1453" i="5"/>
  <c r="S1448" i="5"/>
  <c r="T1445" i="5"/>
  <c r="S1444" i="5"/>
  <c r="T1442" i="5"/>
  <c r="S1439" i="5"/>
  <c r="T1437" i="5"/>
  <c r="S1435" i="5"/>
  <c r="T1433" i="5"/>
  <c r="S1431" i="5"/>
  <c r="S1430" i="5"/>
  <c r="T1429" i="5"/>
  <c r="S1427" i="5"/>
  <c r="T1425" i="5"/>
  <c r="T1423" i="5"/>
  <c r="S1422" i="5"/>
  <c r="T1421" i="5"/>
  <c r="T1419" i="5"/>
  <c r="S1415" i="5"/>
  <c r="S1414" i="5"/>
  <c r="T1413" i="5"/>
  <c r="R1410" i="5"/>
  <c r="S1410" i="5"/>
  <c r="S1409" i="5"/>
  <c r="S1407" i="5"/>
  <c r="S1406" i="5"/>
  <c r="S1405" i="5"/>
  <c r="R1402" i="5"/>
  <c r="T1401" i="5"/>
  <c r="T1398" i="5"/>
  <c r="T1396" i="5"/>
  <c r="R1395" i="5"/>
  <c r="S1395" i="5"/>
  <c r="S1392" i="5"/>
  <c r="S1391" i="5"/>
  <c r="T1386" i="5"/>
  <c r="S1383" i="5"/>
  <c r="T1382" i="5"/>
  <c r="T1380" i="5"/>
  <c r="S1379" i="5"/>
  <c r="S1378" i="5"/>
  <c r="S1376" i="5"/>
  <c r="S1375" i="5"/>
  <c r="T1370" i="5"/>
  <c r="S1364" i="5"/>
  <c r="S1363" i="5"/>
  <c r="T1360" i="5"/>
  <c r="S1359" i="5"/>
  <c r="T1358" i="5"/>
  <c r="R1353" i="5"/>
  <c r="S1352" i="5"/>
  <c r="S1351" i="5"/>
  <c r="T1350" i="5"/>
  <c r="S1348" i="5"/>
  <c r="T1347" i="5"/>
  <c r="S1346" i="5"/>
  <c r="S1345" i="5"/>
  <c r="T1344" i="5"/>
  <c r="T1342" i="5"/>
  <c r="T1341" i="5"/>
  <c r="T1340" i="5"/>
  <c r="T1339" i="5"/>
  <c r="S1337" i="5"/>
  <c r="S1336" i="5"/>
  <c r="T1335" i="5"/>
  <c r="T1334" i="5"/>
  <c r="T1331" i="5"/>
  <c r="T1329" i="5"/>
  <c r="S1327" i="5"/>
  <c r="T1326" i="5"/>
  <c r="T1324" i="5"/>
  <c r="T1323" i="5"/>
  <c r="T1322" i="5"/>
  <c r="S1321" i="5"/>
  <c r="T1320" i="5"/>
  <c r="T1319" i="5"/>
  <c r="T1318" i="5"/>
  <c r="S1316" i="5"/>
  <c r="S1315" i="5"/>
  <c r="T1314" i="5"/>
  <c r="S1312" i="5"/>
  <c r="S1309" i="5"/>
  <c r="T1308" i="5"/>
  <c r="T1306" i="5"/>
  <c r="T1304" i="5"/>
  <c r="T1303" i="5"/>
  <c r="T1302" i="5"/>
  <c r="T1301" i="5"/>
  <c r="S1300" i="5"/>
  <c r="T1299" i="5"/>
  <c r="T1297" i="5"/>
  <c r="S1295" i="5"/>
  <c r="T1294" i="5"/>
  <c r="T1292" i="5"/>
  <c r="T1291" i="5"/>
  <c r="S1289" i="5"/>
  <c r="T1286" i="5"/>
  <c r="S1285" i="5"/>
  <c r="S1283" i="5"/>
  <c r="T1282" i="5"/>
  <c r="T1279" i="5"/>
  <c r="T1278" i="5"/>
  <c r="T1275" i="5"/>
  <c r="T1274" i="5"/>
  <c r="T1272" i="5"/>
  <c r="T1269" i="5"/>
  <c r="T1267" i="5"/>
  <c r="T1266" i="5"/>
  <c r="T1262" i="5"/>
  <c r="T1260" i="5"/>
  <c r="S1259" i="5"/>
  <c r="S1257" i="5"/>
  <c r="T1255" i="5"/>
  <c r="T1253" i="5"/>
  <c r="R1252" i="5"/>
  <c r="T1252" i="5"/>
  <c r="T1251" i="5"/>
  <c r="R1250" i="5"/>
  <c r="T1250" i="5"/>
  <c r="S1249" i="5"/>
  <c r="R1248" i="5"/>
  <c r="T1248" i="5"/>
  <c r="T1247" i="5"/>
  <c r="R1246" i="5"/>
  <c r="R1245" i="5"/>
  <c r="T1245" i="5"/>
  <c r="S1244" i="5"/>
  <c r="S1243" i="5"/>
  <c r="R1242" i="5"/>
  <c r="R1241" i="5"/>
  <c r="T1240" i="5"/>
  <c r="T1238" i="5"/>
  <c r="T1237" i="5"/>
  <c r="S1236" i="5"/>
  <c r="S1235" i="5"/>
  <c r="S1233" i="5"/>
  <c r="S1232" i="5"/>
  <c r="S1231" i="5"/>
  <c r="T1230" i="5"/>
  <c r="T1228" i="5"/>
  <c r="S1227" i="5"/>
  <c r="T1224" i="5"/>
  <c r="T1220" i="5"/>
  <c r="T1219" i="5"/>
  <c r="R1218" i="5"/>
  <c r="T1218" i="5"/>
  <c r="R1216" i="5"/>
  <c r="T1215" i="5"/>
  <c r="R1214" i="5"/>
  <c r="S1214" i="5"/>
  <c r="S1213" i="5"/>
  <c r="S1212" i="5"/>
  <c r="S1211" i="5"/>
  <c r="T1210" i="5"/>
  <c r="T1209" i="5"/>
  <c r="R1208" i="5"/>
  <c r="T1208" i="5"/>
  <c r="T1207" i="5"/>
  <c r="T1206" i="5"/>
  <c r="T1205" i="5"/>
  <c r="T1204" i="5"/>
  <c r="S1203" i="5"/>
  <c r="T1201" i="5"/>
  <c r="S1199" i="5"/>
  <c r="T1198" i="5"/>
  <c r="T1197" i="5"/>
  <c r="S1195" i="5"/>
  <c r="T1192" i="5"/>
  <c r="T1189" i="5"/>
  <c r="T1186" i="5"/>
  <c r="T1185" i="5"/>
  <c r="R1184" i="5"/>
  <c r="T1184" i="5"/>
  <c r="S1182" i="5"/>
  <c r="T1181" i="5"/>
  <c r="S1179" i="5"/>
  <c r="T1178" i="5"/>
  <c r="R1176" i="5"/>
  <c r="T1176" i="5"/>
  <c r="T1172" i="5"/>
  <c r="S1171" i="5"/>
  <c r="T1170" i="5"/>
  <c r="X1168" i="5"/>
  <c r="T1168" i="5"/>
  <c r="S1167" i="5"/>
  <c r="T1166" i="5"/>
  <c r="T1165" i="5"/>
  <c r="T1164" i="5"/>
  <c r="S1163" i="5"/>
  <c r="T1161" i="5"/>
  <c r="T1160" i="5"/>
  <c r="T1156" i="5"/>
  <c r="T1155" i="5"/>
  <c r="R1154" i="5"/>
  <c r="T1154" i="5"/>
  <c r="S1153" i="5"/>
  <c r="S1152" i="5"/>
  <c r="S1150" i="5"/>
  <c r="S1149" i="5"/>
  <c r="S1148" i="5"/>
  <c r="T1147" i="5"/>
  <c r="T1145" i="5"/>
  <c r="S1144" i="5"/>
  <c r="T1142" i="5"/>
  <c r="T1140" i="5"/>
  <c r="S1139" i="5"/>
  <c r="T1138" i="5"/>
  <c r="S1137" i="5"/>
  <c r="S1135" i="5"/>
  <c r="S1134" i="5"/>
  <c r="S1133" i="5"/>
  <c r="T1131" i="5"/>
  <c r="T1130" i="5"/>
  <c r="T1127" i="5"/>
  <c r="T1126" i="5"/>
  <c r="R1125" i="5"/>
  <c r="T1123" i="5"/>
  <c r="S1121" i="5"/>
  <c r="T1120" i="5"/>
  <c r="S1117" i="5"/>
  <c r="T1115" i="5"/>
  <c r="T1112" i="5"/>
  <c r="T1111" i="5"/>
  <c r="T1110" i="5"/>
  <c r="R1109" i="5"/>
  <c r="S1107" i="5"/>
  <c r="S1105" i="5"/>
  <c r="T1104" i="5"/>
  <c r="T1102" i="5"/>
  <c r="S1101" i="5"/>
  <c r="T1099" i="5"/>
  <c r="S1098" i="5"/>
  <c r="T1096" i="5"/>
  <c r="R1093" i="5"/>
  <c r="T1091" i="5"/>
  <c r="S1089" i="5"/>
  <c r="T1088" i="5"/>
  <c r="T1086" i="5"/>
  <c r="S1085" i="5"/>
  <c r="T1084" i="5"/>
  <c r="T1083" i="5"/>
  <c r="T1082" i="5"/>
  <c r="T1079" i="5"/>
  <c r="S1078" i="5"/>
  <c r="R1077" i="5"/>
  <c r="T1076" i="5"/>
  <c r="T1075" i="5"/>
  <c r="T1074" i="5"/>
  <c r="S1073" i="5"/>
  <c r="T1071" i="5"/>
  <c r="S1069" i="5"/>
  <c r="T1068" i="5"/>
  <c r="T1066" i="5"/>
  <c r="T1064" i="5"/>
  <c r="T1063" i="5"/>
  <c r="S1062" i="5"/>
  <c r="R1061" i="5"/>
  <c r="T1060" i="5"/>
  <c r="T1058" i="5"/>
  <c r="S1057" i="5"/>
  <c r="T1056" i="5"/>
  <c r="T1055" i="5"/>
  <c r="S1053" i="5"/>
  <c r="T1052" i="5"/>
  <c r="T1051" i="5"/>
  <c r="S1050" i="5"/>
  <c r="T1048" i="5"/>
  <c r="T1047" i="5"/>
  <c r="R1045" i="5"/>
  <c r="T1044" i="5"/>
  <c r="T1042" i="5"/>
  <c r="S1041" i="5"/>
  <c r="T1040" i="5"/>
  <c r="T1039" i="5"/>
  <c r="S1038" i="5"/>
  <c r="S1037" i="5"/>
  <c r="T1036" i="5"/>
  <c r="T1035" i="5"/>
  <c r="S1034" i="5"/>
  <c r="T1032" i="5"/>
  <c r="T1031" i="5"/>
  <c r="T1028" i="5"/>
  <c r="S1025" i="5"/>
  <c r="T1024" i="5"/>
  <c r="S1021" i="5"/>
  <c r="T1020" i="5"/>
  <c r="T1019" i="5"/>
  <c r="T1018" i="5"/>
  <c r="T1016" i="5"/>
  <c r="T1015" i="5"/>
  <c r="R1013" i="5"/>
  <c r="T1012" i="5"/>
  <c r="T1011" i="5"/>
  <c r="S1009" i="5"/>
  <c r="T1007" i="5"/>
  <c r="T1006" i="5"/>
  <c r="S1005" i="5"/>
  <c r="T1000" i="5"/>
  <c r="T998" i="5"/>
  <c r="R997" i="5"/>
  <c r="S997" i="5"/>
  <c r="T996" i="5"/>
  <c r="T994" i="5"/>
  <c r="S993" i="5"/>
  <c r="T992" i="5"/>
  <c r="T991" i="5"/>
  <c r="T987" i="5"/>
  <c r="T986" i="5"/>
  <c r="S982" i="5"/>
  <c r="S981" i="5"/>
  <c r="T980" i="5"/>
  <c r="S977" i="5"/>
  <c r="T975" i="5"/>
  <c r="T974" i="5"/>
  <c r="R973" i="5"/>
  <c r="S973" i="5"/>
  <c r="T972" i="5"/>
  <c r="T970" i="5"/>
  <c r="T968" i="5"/>
  <c r="T967" i="5"/>
  <c r="T964" i="5"/>
  <c r="T963" i="5"/>
  <c r="S961" i="5"/>
  <c r="T960" i="5"/>
  <c r="T959" i="5"/>
  <c r="S957" i="5"/>
  <c r="T956" i="5"/>
  <c r="T952" i="5"/>
  <c r="T949" i="5"/>
  <c r="S946" i="5"/>
  <c r="T944" i="5"/>
  <c r="T942" i="5"/>
  <c r="T941" i="5"/>
  <c r="T940" i="5"/>
  <c r="T939" i="5"/>
  <c r="T937" i="5"/>
  <c r="T936" i="5"/>
  <c r="S934" i="5"/>
  <c r="T933" i="5"/>
  <c r="T931" i="5"/>
  <c r="T928" i="5"/>
  <c r="S926" i="5"/>
  <c r="T925" i="5"/>
  <c r="T924" i="5"/>
  <c r="T923" i="5"/>
  <c r="T921" i="5"/>
  <c r="T920" i="5"/>
  <c r="T918" i="5"/>
  <c r="T917" i="5"/>
  <c r="T915" i="5"/>
  <c r="T914" i="5"/>
  <c r="T912" i="5"/>
  <c r="T910" i="5"/>
  <c r="T908" i="5"/>
  <c r="T906" i="5"/>
  <c r="T905" i="5"/>
  <c r="T904" i="5"/>
  <c r="T903" i="5"/>
  <c r="T901" i="5"/>
  <c r="T899" i="5"/>
  <c r="T898" i="5"/>
  <c r="T897" i="5"/>
  <c r="T896" i="5"/>
  <c r="S894" i="5"/>
  <c r="T893" i="5"/>
  <c r="T892" i="5"/>
  <c r="T891" i="5"/>
  <c r="T890" i="5"/>
  <c r="T889" i="5"/>
  <c r="T888" i="5"/>
  <c r="S886" i="5"/>
  <c r="T883" i="5"/>
  <c r="T881" i="5"/>
  <c r="T880" i="5"/>
  <c r="T877" i="5"/>
  <c r="T876" i="5"/>
  <c r="T875" i="5"/>
  <c r="T873" i="5"/>
  <c r="T871" i="5"/>
  <c r="T867" i="5"/>
  <c r="R865" i="5"/>
  <c r="T865" i="5"/>
  <c r="T864" i="5"/>
  <c r="T863" i="5"/>
  <c r="T862" i="5"/>
  <c r="T861" i="5"/>
  <c r="T860" i="5"/>
  <c r="T858" i="5"/>
  <c r="T856" i="5"/>
  <c r="T855" i="5"/>
  <c r="T853" i="5"/>
  <c r="S852" i="5"/>
  <c r="T847" i="5"/>
  <c r="S846" i="5"/>
  <c r="T845" i="5"/>
  <c r="S844" i="5"/>
  <c r="S842" i="5"/>
  <c r="S836" i="5"/>
  <c r="T835" i="5"/>
  <c r="T833" i="5"/>
  <c r="T831" i="5"/>
  <c r="S830" i="5"/>
  <c r="S829" i="5"/>
  <c r="T827" i="5"/>
  <c r="S826" i="5"/>
  <c r="S825" i="5"/>
  <c r="S824" i="5"/>
  <c r="S822" i="5"/>
  <c r="R819" i="5"/>
  <c r="T819" i="5"/>
  <c r="S818" i="5"/>
  <c r="T817" i="5"/>
  <c r="R816" i="5"/>
  <c r="S816" i="5"/>
  <c r="S814" i="5"/>
  <c r="S812" i="5"/>
  <c r="T811" i="5"/>
  <c r="R810" i="5"/>
  <c r="S810" i="5"/>
  <c r="S808" i="5"/>
  <c r="T806" i="5"/>
  <c r="S803" i="5"/>
  <c r="S802" i="5"/>
  <c r="R801" i="5"/>
  <c r="S800" i="5"/>
  <c r="S799" i="5"/>
  <c r="T798" i="5"/>
  <c r="R797" i="5"/>
  <c r="S795" i="5"/>
  <c r="T794" i="5"/>
  <c r="R793" i="5"/>
  <c r="S792" i="5"/>
  <c r="R789" i="5"/>
  <c r="S788" i="5"/>
  <c r="R787" i="5"/>
  <c r="S786" i="5"/>
  <c r="S784" i="5"/>
  <c r="T782" i="5"/>
  <c r="R781" i="5"/>
  <c r="R779" i="5"/>
  <c r="T778" i="5"/>
  <c r="R777" i="5"/>
  <c r="S776" i="5"/>
  <c r="T774" i="5"/>
  <c r="R773" i="5"/>
  <c r="R771" i="5"/>
  <c r="S768" i="5"/>
  <c r="S766" i="5"/>
  <c r="R765" i="5"/>
  <c r="S764" i="5"/>
  <c r="R763" i="5"/>
  <c r="R761" i="5"/>
  <c r="S760" i="5"/>
  <c r="R759" i="5"/>
  <c r="S759" i="5"/>
  <c r="S758" i="5"/>
  <c r="R755" i="5"/>
  <c r="T754" i="5"/>
  <c r="R753" i="5"/>
  <c r="S752" i="5"/>
  <c r="R751" i="5"/>
  <c r="S751" i="5"/>
  <c r="T750" i="5"/>
  <c r="S748" i="5"/>
  <c r="T747" i="5"/>
  <c r="S744" i="5"/>
  <c r="T743" i="5"/>
  <c r="T742" i="5"/>
  <c r="R741" i="5"/>
  <c r="T741" i="5"/>
  <c r="S740" i="5"/>
  <c r="R739" i="5"/>
  <c r="T739" i="5"/>
  <c r="R737" i="5"/>
  <c r="T737" i="5"/>
  <c r="S736" i="5"/>
  <c r="R735" i="5"/>
  <c r="T735" i="5"/>
  <c r="T734" i="5"/>
  <c r="R733" i="5"/>
  <c r="S732" i="5"/>
  <c r="T731" i="5"/>
  <c r="S730" i="5"/>
  <c r="T729" i="5"/>
  <c r="S728" i="5"/>
  <c r="T727" i="5"/>
  <c r="T726" i="5"/>
  <c r="T725" i="5"/>
  <c r="R723" i="5"/>
  <c r="T723" i="5"/>
  <c r="R721" i="5"/>
  <c r="T721" i="5"/>
  <c r="S720" i="5"/>
  <c r="R719" i="5"/>
  <c r="T719" i="5"/>
  <c r="T718" i="5"/>
  <c r="T717" i="5"/>
  <c r="T715" i="5"/>
  <c r="T714" i="5"/>
  <c r="S712" i="5"/>
  <c r="T710" i="5"/>
  <c r="T709" i="5"/>
  <c r="S708" i="5"/>
  <c r="R707" i="5"/>
  <c r="T707" i="5"/>
  <c r="T706" i="5"/>
  <c r="R705" i="5"/>
  <c r="T705" i="5"/>
  <c r="T703" i="5"/>
  <c r="T702" i="5"/>
  <c r="T701" i="5"/>
  <c r="R700" i="5"/>
  <c r="S700" i="5"/>
  <c r="T699" i="5"/>
  <c r="R697" i="5"/>
  <c r="T697" i="5"/>
  <c r="S696" i="5"/>
  <c r="T695" i="5"/>
  <c r="T694" i="5"/>
  <c r="T693" i="5"/>
  <c r="S692" i="5"/>
  <c r="T691" i="5"/>
  <c r="R689" i="5"/>
  <c r="T689" i="5"/>
  <c r="R688" i="5"/>
  <c r="S688" i="5"/>
  <c r="T687" i="5"/>
  <c r="T686" i="5"/>
  <c r="T685" i="5"/>
  <c r="S684" i="5"/>
  <c r="T683" i="5"/>
  <c r="T682" i="5"/>
  <c r="T681" i="5"/>
  <c r="S680" i="5"/>
  <c r="T679" i="5"/>
  <c r="S678" i="5"/>
  <c r="X676" i="5"/>
  <c r="T676" i="5"/>
  <c r="T675" i="5"/>
  <c r="T673" i="5"/>
  <c r="T672" i="5"/>
  <c r="T671" i="5"/>
  <c r="X668" i="5"/>
  <c r="T668" i="5"/>
  <c r="T667" i="5"/>
  <c r="T665" i="5"/>
  <c r="T664" i="5"/>
  <c r="T663" i="5"/>
  <c r="T660" i="5"/>
  <c r="T659" i="5"/>
  <c r="S657" i="5"/>
  <c r="T656" i="5"/>
  <c r="T653" i="5"/>
  <c r="T652" i="5"/>
  <c r="T651" i="5"/>
  <c r="T648" i="5"/>
  <c r="S645" i="5"/>
  <c r="T644" i="5"/>
  <c r="T643" i="5"/>
  <c r="T640" i="5"/>
  <c r="T639" i="5"/>
  <c r="T637" i="5"/>
  <c r="T636" i="5"/>
  <c r="T635" i="5"/>
  <c r="T633" i="5"/>
  <c r="T632" i="5"/>
  <c r="S631" i="5"/>
  <c r="T629" i="5"/>
  <c r="T628" i="5"/>
  <c r="T627" i="5"/>
  <c r="T625" i="5"/>
  <c r="T624" i="5"/>
  <c r="T621" i="5"/>
  <c r="T620" i="5"/>
  <c r="T617" i="5"/>
  <c r="T616" i="5"/>
  <c r="S615" i="5"/>
  <c r="T613" i="5"/>
  <c r="T612" i="5"/>
  <c r="T604" i="5"/>
  <c r="R570" i="5"/>
  <c r="R558" i="5"/>
  <c r="R550" i="5"/>
  <c r="R548" i="5"/>
  <c r="R546" i="5"/>
  <c r="R530" i="5"/>
  <c r="R514" i="5"/>
  <c r="R500" i="5"/>
  <c r="R498" i="5"/>
  <c r="R484" i="5"/>
  <c r="R482" i="5"/>
  <c r="R476" i="5"/>
  <c r="R441" i="5"/>
  <c r="R440" i="5"/>
  <c r="R433" i="5"/>
  <c r="R432" i="5"/>
  <c r="R425" i="5"/>
  <c r="R424" i="5"/>
  <c r="R417" i="5"/>
  <c r="R416" i="5"/>
  <c r="R408" i="5"/>
  <c r="R400" i="5"/>
  <c r="R369" i="5"/>
  <c r="R336" i="5"/>
  <c r="R332" i="5"/>
  <c r="R329" i="5"/>
  <c r="R322" i="5"/>
  <c r="R313" i="5"/>
  <c r="R283" i="5"/>
  <c r="R263" i="5"/>
  <c r="R255" i="5"/>
  <c r="R253" i="5"/>
  <c r="R233" i="5"/>
  <c r="R219" i="5"/>
  <c r="R205" i="5"/>
  <c r="R185" i="5"/>
  <c r="R157" i="5"/>
  <c r="R153" i="5"/>
  <c r="R141" i="5"/>
  <c r="R137" i="5"/>
  <c r="R121" i="5"/>
  <c r="X106" i="5"/>
  <c r="R98" i="5"/>
  <c r="R96" i="5"/>
  <c r="R92" i="5"/>
  <c r="R88" i="5"/>
  <c r="R85" i="5"/>
  <c r="R84" i="5"/>
  <c r="R82" i="5"/>
  <c r="R81" i="5"/>
  <c r="R80" i="5"/>
  <c r="R78" i="5"/>
  <c r="R76" i="5"/>
  <c r="R72" i="5"/>
  <c r="R69" i="5"/>
  <c r="R68" i="5"/>
  <c r="R66" i="5"/>
  <c r="R65" i="5"/>
  <c r="R64" i="5"/>
  <c r="R62" i="5"/>
  <c r="R60" i="5"/>
  <c r="X58" i="5"/>
  <c r="R56" i="5"/>
  <c r="R53" i="5"/>
  <c r="R52" i="5"/>
  <c r="R50" i="5"/>
  <c r="R49" i="5"/>
  <c r="R48" i="5"/>
  <c r="R46" i="5"/>
  <c r="R45" i="5"/>
  <c r="R44" i="5"/>
  <c r="X42" i="5"/>
  <c r="R40" i="5"/>
  <c r="R37" i="5"/>
  <c r="R36" i="5"/>
  <c r="R34" i="5"/>
  <c r="R33" i="5"/>
  <c r="R32" i="5"/>
  <c r="R24" i="5"/>
  <c r="R20" i="5"/>
  <c r="AB18" i="5"/>
  <c r="R6" i="5"/>
  <c r="AB6" i="5"/>
  <c r="B90" i="4"/>
  <c r="H67" i="4"/>
  <c r="P47" i="4"/>
  <c r="P46" i="4"/>
  <c r="P45" i="4"/>
  <c r="P44" i="4"/>
  <c r="B44" i="4"/>
  <c r="A29" i="6" s="1"/>
  <c r="P43" i="4"/>
  <c r="Q43" i="4"/>
  <c r="P41" i="4"/>
  <c r="P40" i="4"/>
  <c r="P39" i="4"/>
  <c r="P38" i="4"/>
  <c r="P37" i="4"/>
  <c r="Q37" i="4"/>
  <c r="B31" i="4"/>
  <c r="A18" i="6" s="1"/>
  <c r="P35" i="4"/>
  <c r="P34" i="4"/>
  <c r="P33" i="4"/>
  <c r="P32" i="4"/>
  <c r="P31" i="4"/>
  <c r="Q31" i="4"/>
  <c r="P29" i="4"/>
  <c r="P28" i="4"/>
  <c r="P27" i="4"/>
  <c r="P26" i="4"/>
  <c r="D11" i="4"/>
  <c r="A5" i="4"/>
  <c r="Q4" i="5"/>
  <c r="S213" i="5"/>
  <c r="S58" i="5"/>
  <c r="S42" i="5"/>
  <c r="S74" i="5"/>
  <c r="S2015" i="5"/>
  <c r="T1407" i="5"/>
  <c r="AB1624" i="5"/>
  <c r="S1770" i="5"/>
  <c r="T1781" i="5"/>
  <c r="T1244" i="5"/>
  <c r="T1519" i="5"/>
  <c r="S1477" i="5"/>
  <c r="AB2465" i="5"/>
  <c r="AB720" i="5"/>
  <c r="T1624" i="5"/>
  <c r="T2188" i="5"/>
  <c r="AB841" i="5"/>
  <c r="AB1757" i="5"/>
  <c r="AB858" i="5"/>
  <c r="T1491" i="5"/>
  <c r="AB552" i="5"/>
  <c r="AB1691" i="5"/>
  <c r="AB1731" i="5"/>
  <c r="AB2088" i="5"/>
  <c r="AB410" i="5"/>
  <c r="R480" i="5"/>
  <c r="AB579" i="5"/>
  <c r="AB674" i="5"/>
  <c r="T1098" i="5"/>
  <c r="AB1293" i="5"/>
  <c r="T1435" i="5"/>
  <c r="AB1463" i="5"/>
  <c r="T1675" i="5"/>
  <c r="S2038" i="5"/>
  <c r="S853" i="5"/>
  <c r="T2317" i="5"/>
  <c r="AB2413" i="5"/>
  <c r="S778" i="5"/>
  <c r="S1398" i="5"/>
  <c r="AB1566" i="5"/>
  <c r="AB1594" i="5"/>
  <c r="T1684" i="5"/>
  <c r="T2163" i="5"/>
  <c r="T684" i="5"/>
  <c r="S858" i="5"/>
  <c r="AB1022" i="5"/>
  <c r="AB488" i="5"/>
  <c r="AB594" i="5"/>
  <c r="AB630"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903" i="5"/>
  <c r="S1465" i="5"/>
  <c r="S2068" i="5"/>
  <c r="AB299" i="5"/>
  <c r="AB1140" i="5"/>
  <c r="AB1672" i="5"/>
  <c r="S1754" i="5"/>
  <c r="AB2069" i="5"/>
  <c r="AB2073" i="5"/>
  <c r="R528" i="5"/>
  <c r="R86" i="5"/>
  <c r="AB348" i="5"/>
  <c r="T800" i="5"/>
  <c r="AB1079" i="5"/>
  <c r="AB1110" i="5"/>
  <c r="T1672" i="5"/>
  <c r="T1741" i="5"/>
  <c r="S1899" i="5"/>
  <c r="T1967" i="5"/>
  <c r="T2421" i="5"/>
  <c r="AB2480" i="5"/>
  <c r="AB164" i="5"/>
  <c r="T712" i="5"/>
  <c r="S880" i="5"/>
  <c r="S899" i="5"/>
  <c r="AB903" i="5"/>
  <c r="S906" i="5"/>
  <c r="S925" i="5"/>
  <c r="S940" i="5"/>
  <c r="T1133" i="5"/>
  <c r="S1164" i="5"/>
  <c r="T1283" i="5"/>
  <c r="T1321" i="5"/>
  <c r="T1392" i="5"/>
  <c r="T1479" i="5"/>
  <c r="T1560" i="5"/>
  <c r="AB1649" i="5"/>
  <c r="S1835" i="5"/>
  <c r="AB1933" i="5"/>
  <c r="AB1987" i="5"/>
  <c r="T2127" i="5"/>
  <c r="AB2319" i="5"/>
  <c r="S2330" i="5"/>
  <c r="T2337" i="5"/>
  <c r="AB2418" i="5"/>
  <c r="T2480" i="5"/>
  <c r="AB341" i="5"/>
  <c r="AB384" i="5"/>
  <c r="AB493" i="5"/>
  <c r="AB587" i="5"/>
  <c r="S659" i="5"/>
  <c r="AB1277" i="5"/>
  <c r="T1352" i="5"/>
  <c r="T1414" i="5"/>
  <c r="S1455" i="5"/>
  <c r="S1762" i="5"/>
  <c r="T1791" i="5"/>
  <c r="AB1806" i="5"/>
  <c r="S1821" i="5"/>
  <c r="S2047" i="5"/>
  <c r="T2131" i="5"/>
  <c r="S633" i="5"/>
  <c r="AB1593" i="5"/>
  <c r="S1696" i="5"/>
  <c r="S1749" i="5"/>
  <c r="S1752" i="5"/>
  <c r="S1766" i="5"/>
  <c r="T1795" i="5"/>
  <c r="T1855" i="5"/>
  <c r="T2019" i="5"/>
  <c r="S2022" i="5"/>
  <c r="AB517" i="5"/>
  <c r="AB607" i="5"/>
  <c r="S706" i="5"/>
  <c r="R897" i="5"/>
  <c r="S960" i="5"/>
  <c r="S1255" i="5"/>
  <c r="AB1308" i="5"/>
  <c r="T1315" i="5"/>
  <c r="AB1369" i="5"/>
  <c r="S1386" i="5"/>
  <c r="S1437" i="5"/>
  <c r="T1704" i="5"/>
  <c r="S1919" i="5"/>
  <c r="AB2071" i="5"/>
  <c r="AB2166" i="5"/>
  <c r="T2285" i="5"/>
  <c r="T2397" i="5"/>
  <c r="S240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T829" i="5"/>
  <c r="S1011" i="5"/>
  <c r="T1259" i="5"/>
  <c r="T1289" i="5"/>
  <c r="T1327" i="5"/>
  <c r="AB1377" i="5"/>
  <c r="AB1598" i="5"/>
  <c r="AB1610" i="5"/>
  <c r="S1750" i="5"/>
  <c r="AB2061" i="5"/>
  <c r="S2212" i="5"/>
  <c r="F20" i="6"/>
  <c r="F21" i="6"/>
  <c r="X75" i="5"/>
  <c r="R70" i="5"/>
  <c r="AB364" i="5"/>
  <c r="R488" i="5"/>
  <c r="AB1312" i="5"/>
  <c r="AB2065" i="5"/>
  <c r="AB2152" i="5"/>
  <c r="AB196" i="5"/>
  <c r="AB467" i="5"/>
  <c r="AB520" i="5"/>
  <c r="AB627" i="5"/>
  <c r="R731" i="5"/>
  <c r="AB1753" i="5"/>
  <c r="AB255" i="5"/>
  <c r="AB1165" i="5"/>
  <c r="AB1249" i="5"/>
  <c r="AB1273" i="5"/>
  <c r="AB1280" i="5"/>
  <c r="AB1317" i="5"/>
  <c r="AB1332" i="5"/>
  <c r="R1488" i="5"/>
  <c r="AB1915" i="5"/>
  <c r="AB2125" i="5"/>
  <c r="AB2273" i="5"/>
  <c r="R281" i="5"/>
  <c r="AB372" i="5"/>
  <c r="AB376" i="5"/>
  <c r="AB380" i="5"/>
  <c r="AB1058" i="5"/>
  <c r="AB2030" i="5"/>
  <c r="AB2395" i="5"/>
  <c r="AB231" i="5"/>
  <c r="AB838" i="5"/>
  <c r="AB983" i="5"/>
  <c r="AB1288" i="5"/>
  <c r="AB1455" i="5"/>
  <c r="AB2146" i="5"/>
  <c r="AB2089" i="5"/>
  <c r="AB340" i="5"/>
  <c r="AB469" i="5"/>
  <c r="AB473" i="5"/>
  <c r="AB666" i="5"/>
  <c r="AB1241" i="5"/>
  <c r="AB1531" i="5"/>
  <c r="AB1779" i="5"/>
  <c r="AB2053" i="5"/>
  <c r="AB2225" i="5"/>
  <c r="AB2229" i="5"/>
  <c r="AB2435" i="5"/>
  <c r="X2450" i="5"/>
  <c r="R780" i="5"/>
  <c r="X780" i="5"/>
  <c r="R630" i="5"/>
  <c r="X612" i="5"/>
  <c r="R612" i="5"/>
  <c r="R376" i="5"/>
  <c r="R301" i="5"/>
  <c r="T1305" i="5"/>
  <c r="S1305" i="5"/>
  <c r="AB1743" i="5"/>
  <c r="S1743" i="5"/>
  <c r="T1802" i="5"/>
  <c r="AB1802" i="5"/>
  <c r="R1909" i="5"/>
  <c r="R2458" i="5"/>
  <c r="AB30" i="5"/>
  <c r="AB126" i="5"/>
  <c r="AB438" i="5"/>
  <c r="AB459" i="5"/>
  <c r="AB598" i="5"/>
  <c r="S714" i="5"/>
  <c r="S717" i="5"/>
  <c r="T740" i="5"/>
  <c r="AB794" i="5"/>
  <c r="S817" i="5"/>
  <c r="AB913" i="5"/>
  <c r="AB915" i="5"/>
  <c r="AB929" i="5"/>
  <c r="S1079" i="5"/>
  <c r="AB1095" i="5"/>
  <c r="S1127" i="5"/>
  <c r="T1144" i="5"/>
  <c r="AB1197" i="5"/>
  <c r="T1217" i="5"/>
  <c r="S1217" i="5"/>
  <c r="T1276" i="5"/>
  <c r="AB1276" i="5"/>
  <c r="S1276" i="5"/>
  <c r="R1520" i="5"/>
  <c r="S2440" i="5"/>
  <c r="T2440" i="5"/>
  <c r="T2214" i="5"/>
  <c r="S2214" i="5"/>
  <c r="S613" i="5"/>
  <c r="S750" i="5"/>
  <c r="T766" i="5"/>
  <c r="T784" i="5"/>
  <c r="S794" i="5"/>
  <c r="S838" i="5"/>
  <c r="S847" i="5"/>
  <c r="S915" i="5"/>
  <c r="S998" i="5"/>
  <c r="S1012" i="5"/>
  <c r="S1111" i="5"/>
  <c r="S1161" i="5"/>
  <c r="T1310" i="5"/>
  <c r="S1310" i="5"/>
  <c r="T1867" i="5"/>
  <c r="S1867" i="5"/>
  <c r="S2269" i="5"/>
  <c r="T2269" i="5"/>
  <c r="AB24" i="5"/>
  <c r="R75" i="5"/>
  <c r="AB102" i="5"/>
  <c r="AB242" i="5"/>
  <c r="AB283" i="5"/>
  <c r="AB308" i="5"/>
  <c r="AB426" i="5"/>
  <c r="AB430" i="5"/>
  <c r="AB457" i="5"/>
  <c r="AB485" i="5"/>
  <c r="AB525" i="5"/>
  <c r="AB614" i="5"/>
  <c r="AB633" i="5"/>
  <c r="AB684" i="5"/>
  <c r="S687" i="5"/>
  <c r="AB712" i="5"/>
  <c r="AB718" i="5"/>
  <c r="R747" i="5"/>
  <c r="T844" i="5"/>
  <c r="AB854" i="5"/>
  <c r="S875" i="5"/>
  <c r="S949" i="5"/>
  <c r="S959" i="5"/>
  <c r="AB964" i="5"/>
  <c r="S992" i="5"/>
  <c r="AB998" i="5"/>
  <c r="S1028" i="5"/>
  <c r="S1052" i="5"/>
  <c r="AB1082" i="5"/>
  <c r="S1115" i="5"/>
  <c r="AB1161" i="5"/>
  <c r="R1237" i="5"/>
  <c r="T1287" i="5"/>
  <c r="S1287" i="5"/>
  <c r="T1374" i="5"/>
  <c r="S1374" i="5"/>
  <c r="T1515" i="5"/>
  <c r="S1515" i="5"/>
  <c r="T1870" i="5"/>
  <c r="S1870" i="5"/>
  <c r="S892" i="5"/>
  <c r="S910" i="5"/>
  <c r="S937" i="5"/>
  <c r="S996" i="5"/>
  <c r="AB1042" i="5"/>
  <c r="S1086" i="5"/>
  <c r="T1135" i="5"/>
  <c r="S1145" i="5"/>
  <c r="S1263" i="5"/>
  <c r="T1263" i="5"/>
  <c r="T1307" i="5"/>
  <c r="S1307" i="5"/>
  <c r="X1344" i="5"/>
  <c r="T2168" i="5"/>
  <c r="S2168" i="5"/>
  <c r="T2483" i="5"/>
  <c r="S2483" i="5"/>
  <c r="AB218" i="5"/>
  <c r="AB235" i="5"/>
  <c r="AB368" i="5"/>
  <c r="AB400" i="5"/>
  <c r="AB442" i="5"/>
  <c r="AB509" i="5"/>
  <c r="AB536" i="5"/>
  <c r="AB556" i="5"/>
  <c r="AB591" i="5"/>
  <c r="S671" i="5"/>
  <c r="AB710" i="5"/>
  <c r="AB845" i="5"/>
  <c r="S896" i="5"/>
  <c r="AB914" i="5"/>
  <c r="AB959" i="5"/>
  <c r="S972" i="5"/>
  <c r="AB1149" i="5"/>
  <c r="AB1177" i="5"/>
  <c r="S1284" i="5"/>
  <c r="T1284" i="5"/>
  <c r="T1644" i="5"/>
  <c r="S1644" i="5"/>
  <c r="S1793" i="5"/>
  <c r="AB1793" i="5"/>
  <c r="R2073" i="5"/>
  <c r="S2434" i="5"/>
  <c r="T2434" i="5"/>
  <c r="R38" i="5"/>
  <c r="AB106" i="5"/>
  <c r="S621" i="5"/>
  <c r="AB638" i="5"/>
  <c r="S675" i="5"/>
  <c r="T696" i="5"/>
  <c r="S710" i="5"/>
  <c r="S719" i="5"/>
  <c r="AB730" i="5"/>
  <c r="S855" i="5"/>
  <c r="S876" i="5"/>
  <c r="S890" i="5"/>
  <c r="S905" i="5"/>
  <c r="S908" i="5"/>
  <c r="S914" i="5"/>
  <c r="S924" i="5"/>
  <c r="S1024" i="5"/>
  <c r="S1126" i="5"/>
  <c r="S1170" i="5"/>
  <c r="R1182" i="5"/>
  <c r="T1212" i="5"/>
  <c r="R1406" i="5"/>
  <c r="AB1471" i="5"/>
  <c r="T1471" i="5"/>
  <c r="S1471" i="5"/>
  <c r="AB1681" i="5"/>
  <c r="T1715" i="5"/>
  <c r="S1715" i="5"/>
  <c r="R1898" i="5"/>
  <c r="R2005" i="5"/>
  <c r="S2129" i="5"/>
  <c r="T2129" i="5"/>
  <c r="R2150" i="5"/>
  <c r="R265" i="5"/>
  <c r="X291" i="5"/>
  <c r="AB626" i="5"/>
  <c r="AB659" i="5"/>
  <c r="AB669" i="5"/>
  <c r="S682" i="5"/>
  <c r="T730" i="5"/>
  <c r="T768" i="5"/>
  <c r="S833" i="5"/>
  <c r="S944" i="5"/>
  <c r="AB960" i="5"/>
  <c r="AB1098" i="5"/>
  <c r="S1104" i="5"/>
  <c r="S1110" i="5"/>
  <c r="AB1527" i="5"/>
  <c r="S1842" i="5"/>
  <c r="T1842" i="5"/>
  <c r="R1920" i="5"/>
  <c r="R2484" i="5"/>
  <c r="AB1374" i="5"/>
  <c r="AB1644" i="5"/>
  <c r="T1859" i="5"/>
  <c r="AB1943" i="5"/>
  <c r="S2066" i="5"/>
  <c r="S2074" i="5"/>
  <c r="S2084" i="5"/>
  <c r="AB2214" i="5"/>
  <c r="T2262" i="5"/>
  <c r="AB2292" i="5"/>
  <c r="S2298" i="5"/>
  <c r="T2301" i="5"/>
  <c r="AB2363" i="5"/>
  <c r="T2396" i="5"/>
  <c r="T2405" i="5"/>
  <c r="AB2434" i="5"/>
  <c r="AB1341" i="5"/>
  <c r="AB1429" i="5"/>
  <c r="AB1479" i="5"/>
  <c r="AB1657" i="5"/>
  <c r="AB1688" i="5"/>
  <c r="AB1771" i="5"/>
  <c r="R1906" i="5"/>
  <c r="AB1929" i="5"/>
  <c r="S2289" i="5"/>
  <c r="AB2406" i="5"/>
  <c r="S1319" i="5"/>
  <c r="T1336" i="5"/>
  <c r="S1429" i="5"/>
  <c r="AB1562" i="5"/>
  <c r="S1576" i="5"/>
  <c r="AB1641" i="5"/>
  <c r="T1648" i="5"/>
  <c r="T1664" i="5"/>
  <c r="S1688" i="5"/>
  <c r="AB1696" i="5"/>
  <c r="S1699" i="5"/>
  <c r="S1712" i="5"/>
  <c r="S1806" i="5"/>
  <c r="AB1823" i="5"/>
  <c r="S1825" i="5"/>
  <c r="S1896" i="5"/>
  <c r="S1904" i="5"/>
  <c r="S1943" i="5"/>
  <c r="S2099" i="5"/>
  <c r="T2148" i="5"/>
  <c r="AB2155" i="5"/>
  <c r="AB2169" i="5"/>
  <c r="AB2198" i="5"/>
  <c r="AB2202" i="5"/>
  <c r="AB2325" i="5"/>
  <c r="T1415" i="5"/>
  <c r="S1421" i="5"/>
  <c r="T1542" i="5"/>
  <c r="S1552" i="5"/>
  <c r="AB1573" i="5"/>
  <c r="AB1896" i="5"/>
  <c r="S2014" i="5"/>
  <c r="S2039" i="5"/>
  <c r="S2176" i="5"/>
  <c r="AB2196" i="5"/>
  <c r="T2198" i="5"/>
  <c r="T2224" i="5"/>
  <c r="S2254" i="5"/>
  <c r="T2277" i="5"/>
  <c r="AB2280" i="5"/>
  <c r="T2293" i="5"/>
  <c r="S2325" i="5"/>
  <c r="T2341" i="5"/>
  <c r="R2481" i="5"/>
  <c r="AB1261" i="5"/>
  <c r="AB1304" i="5"/>
  <c r="S1326" i="5"/>
  <c r="S1340" i="5"/>
  <c r="T1378" i="5"/>
  <c r="S1401" i="5"/>
  <c r="AB1421" i="5"/>
  <c r="X1467" i="5"/>
  <c r="AB1574" i="5"/>
  <c r="S1592" i="5"/>
  <c r="AB1700" i="5"/>
  <c r="AB1747" i="5"/>
  <c r="T1769" i="5"/>
  <c r="S1871" i="5"/>
  <c r="AB1903" i="5"/>
  <c r="S2006" i="5"/>
  <c r="AB2093" i="5"/>
  <c r="S2290" i="5"/>
  <c r="T2354" i="5"/>
  <c r="S2435" i="5"/>
  <c r="S1274" i="5"/>
  <c r="S1291" i="5"/>
  <c r="S1294" i="5"/>
  <c r="S1301" i="5"/>
  <c r="S1304" i="5"/>
  <c r="T1317" i="5"/>
  <c r="AB1340" i="5"/>
  <c r="T1427" i="5"/>
  <c r="S1632" i="5"/>
  <c r="S1700" i="5"/>
  <c r="S1716" i="5"/>
  <c r="T1761" i="5"/>
  <c r="S1794" i="5"/>
  <c r="T1797" i="5"/>
  <c r="S1843" i="5"/>
  <c r="AB1941" i="5"/>
  <c r="R2001" i="5"/>
  <c r="AB2007" i="5"/>
  <c r="AB2031" i="5"/>
  <c r="AB2060" i="5"/>
  <c r="T2107" i="5"/>
  <c r="T2152" i="5"/>
  <c r="T2184" i="5"/>
  <c r="R2190" i="5"/>
  <c r="AB2222" i="5"/>
  <c r="S2232" i="5"/>
  <c r="T2246" i="5"/>
  <c r="T2258" i="5"/>
  <c r="T2395" i="5"/>
  <c r="T2404" i="5"/>
  <c r="R2450" i="5"/>
  <c r="S2460" i="5"/>
  <c r="R1230" i="5"/>
  <c r="T1233" i="5"/>
  <c r="S1280" i="5"/>
  <c r="S1306" i="5"/>
  <c r="T1309" i="5"/>
  <c r="AB1338" i="5"/>
  <c r="AB1346" i="5"/>
  <c r="AB1392" i="5"/>
  <c r="T1470" i="5"/>
  <c r="AB1558" i="5"/>
  <c r="AB1582" i="5"/>
  <c r="AB1622" i="5"/>
  <c r="S1656" i="5"/>
  <c r="S1659" i="5"/>
  <c r="AB1732" i="5"/>
  <c r="AB1739" i="5"/>
  <c r="S1742" i="5"/>
  <c r="T1745" i="5"/>
  <c r="S1758" i="5"/>
  <c r="S1779" i="5"/>
  <c r="T1801" i="5"/>
  <c r="S1807" i="5"/>
  <c r="T1841" i="5"/>
  <c r="S1938" i="5"/>
  <c r="S1970" i="5"/>
  <c r="AB2063" i="5"/>
  <c r="AB2077" i="5"/>
  <c r="AB2098" i="5"/>
  <c r="AB2150" i="5"/>
  <c r="AB2233" i="5"/>
  <c r="AB2349" i="5"/>
  <c r="S2463" i="5"/>
  <c r="R97" i="5"/>
  <c r="X47" i="5"/>
  <c r="R127" i="5"/>
  <c r="T895" i="5"/>
  <c r="AB895" i="5"/>
  <c r="S895" i="5"/>
  <c r="AB1863" i="5"/>
  <c r="T1863" i="5"/>
  <c r="S1863" i="5"/>
  <c r="R54" i="5"/>
  <c r="R74" i="5"/>
  <c r="R189" i="5"/>
  <c r="AB210" i="5"/>
  <c r="R225" i="5"/>
  <c r="R463" i="5"/>
  <c r="T738" i="5"/>
  <c r="S738" i="5"/>
  <c r="R94" i="5"/>
  <c r="AB170" i="5"/>
  <c r="X452" i="5"/>
  <c r="S1497" i="5"/>
  <c r="T1497" i="5"/>
  <c r="R237" i="5"/>
  <c r="AB262" i="5"/>
  <c r="AB298" i="5"/>
  <c r="R453" i="5"/>
  <c r="R125" i="5"/>
  <c r="T1447" i="5"/>
  <c r="AB1447" i="5"/>
  <c r="S1447" i="5"/>
  <c r="R22" i="5"/>
  <c r="R90" i="5"/>
  <c r="AB114" i="5"/>
  <c r="R123" i="5"/>
  <c r="R167" i="5"/>
  <c r="R187" i="5"/>
  <c r="T641" i="5"/>
  <c r="S641" i="5"/>
  <c r="R59" i="5"/>
  <c r="R111" i="5"/>
  <c r="R171" i="5"/>
  <c r="X468" i="5"/>
  <c r="R562" i="5"/>
  <c r="AB166" i="5"/>
  <c r="R201" i="5"/>
  <c r="R245" i="5"/>
  <c r="AB178" i="5"/>
  <c r="R299" i="5"/>
  <c r="X392" i="5"/>
  <c r="AB110" i="5"/>
  <c r="R30" i="5"/>
  <c r="R107" i="5"/>
  <c r="AB150" i="5"/>
  <c r="AB186" i="5"/>
  <c r="R401" i="5"/>
  <c r="AB230" i="5"/>
  <c r="AB251" i="5"/>
  <c r="AB267" i="5"/>
  <c r="AB453" i="5"/>
  <c r="AB454" i="5"/>
  <c r="AB472" i="5"/>
  <c r="X527" i="5"/>
  <c r="AB560" i="5"/>
  <c r="R584" i="5"/>
  <c r="AB595" i="5"/>
  <c r="R674" i="5"/>
  <c r="T722" i="5"/>
  <c r="S722" i="5"/>
  <c r="S832" i="5"/>
  <c r="T832" i="5"/>
  <c r="AB875" i="5"/>
  <c r="X875" i="5"/>
  <c r="T907" i="5"/>
  <c r="AB907" i="5"/>
  <c r="S907" i="5"/>
  <c r="T919" i="5"/>
  <c r="S919" i="5"/>
  <c r="AB942" i="5"/>
  <c r="AB974" i="5"/>
  <c r="AB990" i="5"/>
  <c r="S990" i="5"/>
  <c r="T1128" i="5"/>
  <c r="S1128" i="5"/>
  <c r="R1210" i="5"/>
  <c r="R271" i="5"/>
  <c r="X604" i="5"/>
  <c r="R604" i="5"/>
  <c r="R644" i="5"/>
  <c r="X788" i="5"/>
  <c r="R851" i="5"/>
  <c r="AB851" i="5"/>
  <c r="T916" i="5"/>
  <c r="S916" i="5"/>
  <c r="T979" i="5"/>
  <c r="S979" i="5"/>
  <c r="X982" i="5"/>
  <c r="AB982" i="5"/>
  <c r="T1026" i="5"/>
  <c r="AB1026" i="5"/>
  <c r="S1026" i="5"/>
  <c r="AB1086" i="5"/>
  <c r="AB132" i="5"/>
  <c r="AB190" i="5"/>
  <c r="AB263" i="5"/>
  <c r="AB275" i="5"/>
  <c r="AB357" i="5"/>
  <c r="AB365" i="5"/>
  <c r="AB434" i="5"/>
  <c r="AB551" i="5"/>
  <c r="AB696" i="5"/>
  <c r="R696" i="5"/>
  <c r="T713" i="5"/>
  <c r="S713" i="5"/>
  <c r="T745" i="5"/>
  <c r="S745" i="5"/>
  <c r="AB808" i="5"/>
  <c r="AB872" i="5"/>
  <c r="AB882" i="5"/>
  <c r="T882" i="5"/>
  <c r="S882" i="5"/>
  <c r="T950" i="5"/>
  <c r="S950" i="5"/>
  <c r="X175" i="5"/>
  <c r="X616" i="5"/>
  <c r="R616" i="5"/>
  <c r="S639" i="5"/>
  <c r="T649" i="5"/>
  <c r="S649" i="5"/>
  <c r="R685" i="5"/>
  <c r="T733" i="5"/>
  <c r="S733" i="5"/>
  <c r="X768" i="5"/>
  <c r="AB836" i="5"/>
  <c r="X836" i="5"/>
  <c r="T911" i="5"/>
  <c r="S911" i="5"/>
  <c r="T927" i="5"/>
  <c r="S927" i="5"/>
  <c r="S938" i="5"/>
  <c r="T938" i="5"/>
  <c r="T976" i="5"/>
  <c r="S976" i="5"/>
  <c r="AB1014" i="5"/>
  <c r="T1014" i="5"/>
  <c r="S1014" i="5"/>
  <c r="AB207" i="5"/>
  <c r="AB215" i="5"/>
  <c r="AB282" i="5"/>
  <c r="AB356" i="5"/>
  <c r="AB451" i="5"/>
  <c r="X652" i="5"/>
  <c r="T711" i="5"/>
  <c r="S711" i="5"/>
  <c r="S756" i="5"/>
  <c r="T756" i="5"/>
  <c r="T823" i="5"/>
  <c r="S823" i="5"/>
  <c r="T859" i="5"/>
  <c r="S859" i="5"/>
  <c r="AB869" i="5"/>
  <c r="T948" i="5"/>
  <c r="AB948" i="5"/>
  <c r="S948" i="5"/>
  <c r="X1011" i="5"/>
  <c r="AB567" i="5"/>
  <c r="X656" i="5"/>
  <c r="R656" i="5"/>
  <c r="T690" i="5"/>
  <c r="S690" i="5"/>
  <c r="R796" i="5"/>
  <c r="X796" i="5"/>
  <c r="AB122" i="5"/>
  <c r="AB174" i="5"/>
  <c r="AB219" i="5"/>
  <c r="AB239" i="5"/>
  <c r="AB278" i="5"/>
  <c r="AB316" i="5"/>
  <c r="AB396" i="5"/>
  <c r="AB404" i="5"/>
  <c r="AB414" i="5"/>
  <c r="AB422" i="5"/>
  <c r="AB458" i="5"/>
  <c r="AB468" i="5"/>
  <c r="R646" i="5"/>
  <c r="AB680" i="5"/>
  <c r="R680" i="5"/>
  <c r="R701" i="5"/>
  <c r="X784" i="5"/>
  <c r="AB856" i="5"/>
  <c r="T909" i="5"/>
  <c r="AB909" i="5"/>
  <c r="S909" i="5"/>
  <c r="T922" i="5"/>
  <c r="S922" i="5"/>
  <c r="T995" i="5"/>
  <c r="S995" i="5"/>
  <c r="AB575" i="5"/>
  <c r="AB603" i="5"/>
  <c r="AB610" i="5"/>
  <c r="AB639" i="5"/>
  <c r="AB641" i="5"/>
  <c r="AB646" i="5"/>
  <c r="AB654" i="5"/>
  <c r="AB738" i="5"/>
  <c r="S782" i="5"/>
  <c r="T786" i="5"/>
  <c r="S798" i="5"/>
  <c r="AB806" i="5"/>
  <c r="AB823" i="5"/>
  <c r="AB825" i="5"/>
  <c r="S845" i="5"/>
  <c r="S856" i="5"/>
  <c r="S861" i="5"/>
  <c r="S863" i="5"/>
  <c r="AB888" i="5"/>
  <c r="AB911" i="5"/>
  <c r="AB916" i="5"/>
  <c r="AB927" i="5"/>
  <c r="AB930" i="5"/>
  <c r="S933" i="5"/>
  <c r="S942" i="5"/>
  <c r="AB945" i="5"/>
  <c r="S952" i="5"/>
  <c r="S964" i="5"/>
  <c r="S974" i="5"/>
  <c r="T982" i="5"/>
  <c r="X1031" i="5"/>
  <c r="T1092" i="5"/>
  <c r="S1092" i="5"/>
  <c r="T1107" i="5"/>
  <c r="AB1107" i="5"/>
  <c r="S1112" i="5"/>
  <c r="AB1325" i="5"/>
  <c r="T1368" i="5"/>
  <c r="S1368" i="5"/>
  <c r="T1705" i="5"/>
  <c r="AB1705" i="5"/>
  <c r="AB809" i="5"/>
  <c r="S1090" i="5"/>
  <c r="T1090" i="5"/>
  <c r="T1196" i="5"/>
  <c r="S1196" i="5"/>
  <c r="S1438" i="5"/>
  <c r="T1438" i="5"/>
  <c r="AB601" i="5"/>
  <c r="AB649" i="5"/>
  <c r="T657" i="5"/>
  <c r="T678" i="5"/>
  <c r="T688" i="5"/>
  <c r="R715" i="5"/>
  <c r="S718" i="5"/>
  <c r="T720" i="5"/>
  <c r="AB748" i="5"/>
  <c r="AB893" i="5"/>
  <c r="AB931" i="5"/>
  <c r="AB958" i="5"/>
  <c r="AB1018" i="5"/>
  <c r="AB1043" i="5"/>
  <c r="AB1126" i="5"/>
  <c r="AB1372" i="5"/>
  <c r="T1372" i="5"/>
  <c r="S1372" i="5"/>
  <c r="S1588" i="5"/>
  <c r="T1588" i="5"/>
  <c r="AB541" i="5"/>
  <c r="AB583" i="5"/>
  <c r="AB615" i="5"/>
  <c r="AB617" i="5"/>
  <c r="R678" i="5"/>
  <c r="S686" i="5"/>
  <c r="S694" i="5"/>
  <c r="X700" i="5"/>
  <c r="S702" i="5"/>
  <c r="X720" i="5"/>
  <c r="T736" i="5"/>
  <c r="AB741" i="5"/>
  <c r="S754" i="5"/>
  <c r="S774" i="5"/>
  <c r="X807" i="5"/>
  <c r="S835" i="5"/>
  <c r="S841" i="5"/>
  <c r="S862" i="5"/>
  <c r="S864" i="5"/>
  <c r="S873" i="5"/>
  <c r="AB898" i="5"/>
  <c r="S931" i="5"/>
  <c r="S936" i="5"/>
  <c r="AB946" i="5"/>
  <c r="T988" i="5"/>
  <c r="S988" i="5"/>
  <c r="S1074" i="5"/>
  <c r="S1084" i="5"/>
  <c r="S1096" i="5"/>
  <c r="X1136" i="5"/>
  <c r="T1193" i="5"/>
  <c r="AB1193" i="5"/>
  <c r="S1193" i="5"/>
  <c r="AB613" i="5"/>
  <c r="S617" i="5"/>
  <c r="AB621" i="5"/>
  <c r="S627" i="5"/>
  <c r="S629" i="5"/>
  <c r="AB647" i="5"/>
  <c r="S667" i="5"/>
  <c r="AB688" i="5"/>
  <c r="T700" i="5"/>
  <c r="S705" i="5"/>
  <c r="T728" i="5"/>
  <c r="T732" i="5"/>
  <c r="AB805" i="5"/>
  <c r="S860" i="5"/>
  <c r="S881" i="5"/>
  <c r="AB887" i="5"/>
  <c r="S891" i="5"/>
  <c r="S898" i="5"/>
  <c r="S912" i="5"/>
  <c r="S920" i="5"/>
  <c r="S923" i="5"/>
  <c r="S928" i="5"/>
  <c r="T934" i="5"/>
  <c r="S941" i="5"/>
  <c r="T946" i="5"/>
  <c r="S956" i="5"/>
  <c r="S963" i="5"/>
  <c r="S978" i="5"/>
  <c r="T978" i="5"/>
  <c r="S1099" i="5"/>
  <c r="T1103" i="5"/>
  <c r="AB1103" i="5"/>
  <c r="T1118" i="5"/>
  <c r="AB1118" i="5"/>
  <c r="T1157" i="5"/>
  <c r="AB1157" i="5"/>
  <c r="S1157" i="5"/>
  <c r="AB1233" i="5"/>
  <c r="AB1320" i="5"/>
  <c r="AB1352" i="5"/>
  <c r="R1352" i="5"/>
  <c r="R1369" i="5"/>
  <c r="AB1385" i="5"/>
  <c r="R1385" i="5"/>
  <c r="R1506" i="5"/>
  <c r="AB835" i="5"/>
  <c r="S889" i="5"/>
  <c r="AB986" i="5"/>
  <c r="AB1034" i="5"/>
  <c r="T1034" i="5"/>
  <c r="AB1106" i="5"/>
  <c r="T1106" i="5"/>
  <c r="T1141" i="5"/>
  <c r="S1141" i="5"/>
  <c r="AB609" i="5"/>
  <c r="AB622" i="5"/>
  <c r="S647" i="5"/>
  <c r="AB662" i="5"/>
  <c r="AB671" i="5"/>
  <c r="T692" i="5"/>
  <c r="S703" i="5"/>
  <c r="AB708" i="5"/>
  <c r="S721" i="5"/>
  <c r="AB732" i="5"/>
  <c r="S734" i="5"/>
  <c r="S737" i="5"/>
  <c r="AB744" i="5"/>
  <c r="T758" i="5"/>
  <c r="T760" i="5"/>
  <c r="AB782" i="5"/>
  <c r="AB833" i="5"/>
  <c r="AB881" i="5"/>
  <c r="AB890" i="5"/>
  <c r="AB899" i="5"/>
  <c r="S904" i="5"/>
  <c r="T926" i="5"/>
  <c r="AB944" i="5"/>
  <c r="X991" i="5"/>
  <c r="AB1038" i="5"/>
  <c r="T1038" i="5"/>
  <c r="S1091" i="5"/>
  <c r="X1094" i="5"/>
  <c r="S1118" i="5"/>
  <c r="T1417" i="5"/>
  <c r="AB1417" i="5"/>
  <c r="S1417" i="5"/>
  <c r="AB1054" i="5"/>
  <c r="AB1074" i="5"/>
  <c r="AB1162" i="5"/>
  <c r="AB1164" i="5"/>
  <c r="AB1170" i="5"/>
  <c r="S1186" i="5"/>
  <c r="AB1212" i="5"/>
  <c r="AB1223" i="5"/>
  <c r="AB1226" i="5"/>
  <c r="T1249" i="5"/>
  <c r="T1280" i="5"/>
  <c r="AB1313" i="5"/>
  <c r="AB1362" i="5"/>
  <c r="AB1365" i="5"/>
  <c r="AB1376" i="5"/>
  <c r="AB1475" i="5"/>
  <c r="AB1554" i="5"/>
  <c r="T1628" i="5"/>
  <c r="S1628" i="5"/>
  <c r="S1178" i="5"/>
  <c r="T1388" i="5"/>
  <c r="S1388" i="5"/>
  <c r="T1819" i="5"/>
  <c r="S1819" i="5"/>
  <c r="S1019" i="5"/>
  <c r="S1032" i="5"/>
  <c r="S1054" i="5"/>
  <c r="S1063" i="5"/>
  <c r="S1071" i="5"/>
  <c r="S1076" i="5"/>
  <c r="AB1090" i="5"/>
  <c r="S1131" i="5"/>
  <c r="AB1145" i="5"/>
  <c r="R1148" i="5"/>
  <c r="AB1207" i="5"/>
  <c r="AB1237" i="5"/>
  <c r="AB1245" i="5"/>
  <c r="T1257" i="5"/>
  <c r="S1262" i="5"/>
  <c r="S1273" i="5"/>
  <c r="S1275" i="5"/>
  <c r="S1278" i="5"/>
  <c r="T1295" i="5"/>
  <c r="AB1305" i="5"/>
  <c r="S1308" i="5"/>
  <c r="S1313" i="5"/>
  <c r="S1323" i="5"/>
  <c r="AB1344" i="5"/>
  <c r="S1347" i="5"/>
  <c r="S1350" i="5"/>
  <c r="S1362" i="5"/>
  <c r="T1406" i="5"/>
  <c r="T1409" i="5"/>
  <c r="AB1409" i="5"/>
  <c r="S1419" i="5"/>
  <c r="T1430" i="5"/>
  <c r="S1454" i="5"/>
  <c r="T1454" i="5"/>
  <c r="T1459" i="5"/>
  <c r="AB1459" i="5"/>
  <c r="T1513" i="5"/>
  <c r="S1513" i="5"/>
  <c r="T1537" i="5"/>
  <c r="S1537" i="5"/>
  <c r="T1545" i="5"/>
  <c r="S1545" i="5"/>
  <c r="AB1775" i="5"/>
  <c r="S1775" i="5"/>
  <c r="R1917" i="5"/>
  <c r="AB1923" i="5"/>
  <c r="S1923" i="5"/>
  <c r="S2026" i="5"/>
  <c r="T2026" i="5"/>
  <c r="AB1050" i="5"/>
  <c r="T1054" i="5"/>
  <c r="AB1131" i="5"/>
  <c r="T1177" i="5"/>
  <c r="AB1194" i="5"/>
  <c r="S1209" i="5"/>
  <c r="S1252" i="5"/>
  <c r="S1269" i="5"/>
  <c r="S1272" i="5"/>
  <c r="T1273" i="5"/>
  <c r="AB1281" i="5"/>
  <c r="AB1300" i="5"/>
  <c r="T1316" i="5"/>
  <c r="S1332" i="5"/>
  <c r="AB1348" i="5"/>
  <c r="S1370" i="5"/>
  <c r="T1422" i="5"/>
  <c r="R1450" i="5"/>
  <c r="X1450" i="5"/>
  <c r="AB1490" i="5"/>
  <c r="R1492" i="5"/>
  <c r="S1495" i="5"/>
  <c r="T1501" i="5"/>
  <c r="S1507" i="5"/>
  <c r="AB1511" i="5"/>
  <c r="T1511" i="5"/>
  <c r="S1531" i="5"/>
  <c r="S1564" i="5"/>
  <c r="AB1578" i="5"/>
  <c r="T1643" i="5"/>
  <c r="S1643" i="5"/>
  <c r="AB1716" i="5"/>
  <c r="R1752" i="5"/>
  <c r="R1874" i="5"/>
  <c r="AB1940" i="5"/>
  <c r="AB2012" i="5"/>
  <c r="T2310" i="5"/>
  <c r="S2310" i="5"/>
  <c r="AB2381" i="5"/>
  <c r="AB1067" i="5"/>
  <c r="AB1102" i="5"/>
  <c r="AB1122" i="5"/>
  <c r="AB1225" i="5"/>
  <c r="AB1253" i="5"/>
  <c r="AB1333" i="5"/>
  <c r="AB1373" i="5"/>
  <c r="T1451" i="5"/>
  <c r="S1451" i="5"/>
  <c r="R1454" i="5"/>
  <c r="T1531" i="5"/>
  <c r="AB1539" i="5"/>
  <c r="S1556" i="5"/>
  <c r="T1556" i="5"/>
  <c r="AB1561" i="5"/>
  <c r="T1608" i="5"/>
  <c r="S1608" i="5"/>
  <c r="AB1633" i="5"/>
  <c r="AB1640" i="5"/>
  <c r="AB1680" i="5"/>
  <c r="X1680" i="5"/>
  <c r="T1782" i="5"/>
  <c r="S1782" i="5"/>
  <c r="AB1851" i="5"/>
  <c r="T1851" i="5"/>
  <c r="R1957" i="5"/>
  <c r="T1960" i="5"/>
  <c r="AB1960" i="5"/>
  <c r="R2037" i="5"/>
  <c r="T2206" i="5"/>
  <c r="S2206" i="5"/>
  <c r="AB2236" i="5"/>
  <c r="T2236" i="5"/>
  <c r="S2236" i="5"/>
  <c r="AB1209" i="5"/>
  <c r="S1277" i="5"/>
  <c r="R1524" i="5"/>
  <c r="S1660" i="5"/>
  <c r="T1660" i="5"/>
  <c r="S1720" i="5"/>
  <c r="T1720" i="5"/>
  <c r="AB1735" i="5"/>
  <c r="R1735" i="5"/>
  <c r="S2072" i="5"/>
  <c r="T2072" i="5"/>
  <c r="S987" i="5"/>
  <c r="AB994" i="5"/>
  <c r="S1007" i="5"/>
  <c r="S1020" i="5"/>
  <c r="S1031" i="5"/>
  <c r="S1039" i="5"/>
  <c r="S1042" i="5"/>
  <c r="S1044" i="5"/>
  <c r="S1047" i="5"/>
  <c r="T1062" i="5"/>
  <c r="S1064" i="5"/>
  <c r="S1082" i="5"/>
  <c r="AB1147" i="5"/>
  <c r="AB1154" i="5"/>
  <c r="S1156" i="5"/>
  <c r="AB1173" i="5"/>
  <c r="AB1217" i="5"/>
  <c r="S1218" i="5"/>
  <c r="S1228" i="5"/>
  <c r="S1250" i="5"/>
  <c r="S1253" i="5"/>
  <c r="T1277" i="5"/>
  <c r="S1281" i="5"/>
  <c r="AB1301" i="5"/>
  <c r="AB1309" i="5"/>
  <c r="S1333" i="5"/>
  <c r="S1344" i="5"/>
  <c r="AB1349" i="5"/>
  <c r="AB1382" i="5"/>
  <c r="AB1393" i="5"/>
  <c r="AB1397" i="5"/>
  <c r="AB1454" i="5"/>
  <c r="AB1491" i="5"/>
  <c r="S1511" i="5"/>
  <c r="AB1522" i="5"/>
  <c r="T1538" i="5"/>
  <c r="T1605" i="5"/>
  <c r="AB1605" i="5"/>
  <c r="T1667" i="5"/>
  <c r="S1667" i="5"/>
  <c r="S1765" i="5"/>
  <c r="T1765" i="5"/>
  <c r="T1838" i="5"/>
  <c r="S1838" i="5"/>
  <c r="AB1614" i="5"/>
  <c r="AB1618" i="5"/>
  <c r="AB1685" i="5"/>
  <c r="T1691" i="5"/>
  <c r="S1719" i="5"/>
  <c r="AB1721" i="5"/>
  <c r="T1731" i="5"/>
  <c r="AB1737" i="5"/>
  <c r="AB1745" i="5"/>
  <c r="S1759" i="5"/>
  <c r="AB1767" i="5"/>
  <c r="S1774" i="5"/>
  <c r="AB1791" i="5"/>
  <c r="S1823" i="5"/>
  <c r="S1839" i="5"/>
  <c r="S1850" i="5"/>
  <c r="S1888" i="5"/>
  <c r="S1907" i="5"/>
  <c r="S1927" i="5"/>
  <c r="T1954" i="5"/>
  <c r="R2065" i="5"/>
  <c r="AB1660" i="5"/>
  <c r="X1696" i="5"/>
  <c r="T1743" i="5"/>
  <c r="AB1746" i="5"/>
  <c r="AB1819" i="5"/>
  <c r="R2021" i="5"/>
  <c r="S2252" i="5"/>
  <c r="AB2252" i="5"/>
  <c r="T2252" i="5"/>
  <c r="T2342" i="5"/>
  <c r="S2342" i="5"/>
  <c r="S2379" i="5"/>
  <c r="AB2379" i="5"/>
  <c r="AB2401" i="5"/>
  <c r="AB1551" i="5"/>
  <c r="AB1553" i="5"/>
  <c r="AB1602" i="5"/>
  <c r="AB1636" i="5"/>
  <c r="AB1637" i="5"/>
  <c r="AB1677" i="5"/>
  <c r="AB1871" i="5"/>
  <c r="S1874" i="5"/>
  <c r="AB1880" i="5"/>
  <c r="S1903" i="5"/>
  <c r="AB1936" i="5"/>
  <c r="T2010" i="5"/>
  <c r="S2010" i="5"/>
  <c r="T2048" i="5"/>
  <c r="AB2048" i="5"/>
  <c r="S2352" i="5"/>
  <c r="T2352" i="5"/>
  <c r="R2453" i="5"/>
  <c r="AB1523" i="5"/>
  <c r="AB1590" i="5"/>
  <c r="AB1620" i="5"/>
  <c r="AB1625" i="5"/>
  <c r="S1671" i="5"/>
  <c r="AB1683" i="5"/>
  <c r="S1695" i="5"/>
  <c r="S1711" i="5"/>
  <c r="AB1761" i="5"/>
  <c r="T1773" i="5"/>
  <c r="AB1789" i="5"/>
  <c r="S1822" i="5"/>
  <c r="T1826" i="5"/>
  <c r="AB1860" i="5"/>
  <c r="AB1875" i="5"/>
  <c r="S1880" i="5"/>
  <c r="S1887" i="5"/>
  <c r="S1911" i="5"/>
  <c r="S1931" i="5"/>
  <c r="AB1934" i="5"/>
  <c r="AB1937" i="5"/>
  <c r="T2020" i="5"/>
  <c r="AB2020" i="5"/>
  <c r="AB1570" i="5"/>
  <c r="AB1606" i="5"/>
  <c r="S1778" i="5"/>
  <c r="AB1787" i="5"/>
  <c r="AB1822" i="5"/>
  <c r="AB1898" i="5"/>
  <c r="R1953" i="5"/>
  <c r="T2085" i="5"/>
  <c r="AB2085" i="5"/>
  <c r="R2207" i="5"/>
  <c r="T2305" i="5"/>
  <c r="S2305" i="5"/>
  <c r="R2469" i="5"/>
  <c r="AB1778" i="5"/>
  <c r="T1984" i="5"/>
  <c r="AB1984" i="5"/>
  <c r="T2046" i="5"/>
  <c r="S2046" i="5"/>
  <c r="T2056" i="5"/>
  <c r="AB2056" i="5"/>
  <c r="S2056" i="5"/>
  <c r="R2324" i="5"/>
  <c r="X2324" i="5"/>
  <c r="R2340" i="5"/>
  <c r="R2373" i="5"/>
  <c r="AB1831" i="5"/>
  <c r="S1834" i="5"/>
  <c r="AB1864" i="5"/>
  <c r="R1890" i="5"/>
  <c r="S2018" i="5"/>
  <c r="S2031" i="5"/>
  <c r="T2035" i="5"/>
  <c r="S2035" i="5"/>
  <c r="R2245" i="5"/>
  <c r="R2356" i="5"/>
  <c r="X2356" i="5"/>
  <c r="S2371" i="5"/>
  <c r="AB2371" i="5"/>
  <c r="T2450" i="5"/>
  <c r="AB2450" i="5"/>
  <c r="AB1963" i="5"/>
  <c r="AB1986" i="5"/>
  <c r="AB2004" i="5"/>
  <c r="AB2008" i="5"/>
  <c r="AB2022" i="5"/>
  <c r="AB2028" i="5"/>
  <c r="T2034" i="5"/>
  <c r="S2058" i="5"/>
  <c r="AB2094" i="5"/>
  <c r="AB2102" i="5"/>
  <c r="S2104" i="5"/>
  <c r="S2116" i="5"/>
  <c r="T2137" i="5"/>
  <c r="AB2145" i="5"/>
  <c r="AB2158" i="5"/>
  <c r="AB2162" i="5"/>
  <c r="AB2194" i="5"/>
  <c r="AB2206" i="5"/>
  <c r="AB2226" i="5"/>
  <c r="AB2310" i="5"/>
  <c r="S2326" i="5"/>
  <c r="S2329" i="5"/>
  <c r="AB2333" i="5"/>
  <c r="AB2393" i="5"/>
  <c r="T2416" i="5"/>
  <c r="AB2421" i="5"/>
  <c r="R2433" i="5"/>
  <c r="S2451" i="5"/>
  <c r="AB2456" i="5"/>
  <c r="T2461" i="5"/>
  <c r="T2463" i="5"/>
  <c r="T2297" i="5"/>
  <c r="AB1966" i="5"/>
  <c r="AB1999" i="5"/>
  <c r="AB2016" i="5"/>
  <c r="AB2054" i="5"/>
  <c r="AB2097" i="5"/>
  <c r="AB2103" i="5"/>
  <c r="S2123" i="5"/>
  <c r="AB2157" i="5"/>
  <c r="T2185" i="5"/>
  <c r="T2189" i="5"/>
  <c r="S2230" i="5"/>
  <c r="R2239" i="5"/>
  <c r="T2274" i="5"/>
  <c r="S2292" i="5"/>
  <c r="AB2297" i="5"/>
  <c r="S2318" i="5"/>
  <c r="AB2321" i="5"/>
  <c r="AB2329" i="5"/>
  <c r="AB2355" i="5"/>
  <c r="AB2388" i="5"/>
  <c r="AB2389" i="5"/>
  <c r="AB2409" i="5"/>
  <c r="AB2417" i="5"/>
  <c r="AB2422" i="5"/>
  <c r="X2436" i="5"/>
  <c r="AB2439" i="5"/>
  <c r="S2079" i="5"/>
  <c r="S2100" i="5"/>
  <c r="T2141" i="5"/>
  <c r="T2157" i="5"/>
  <c r="T2159" i="5"/>
  <c r="S2172" i="5"/>
  <c r="S2220" i="5"/>
  <c r="S2222" i="5"/>
  <c r="S2250" i="5"/>
  <c r="T2256" i="5"/>
  <c r="S2308" i="5"/>
  <c r="S2321" i="5"/>
  <c r="S2334" i="5"/>
  <c r="S2392" i="5"/>
  <c r="S2407" i="5"/>
  <c r="T2409" i="5"/>
  <c r="S2412" i="5"/>
  <c r="T2417" i="5"/>
  <c r="T2420" i="5"/>
  <c r="T2429" i="5"/>
  <c r="S2432" i="5"/>
  <c r="T2445" i="5"/>
  <c r="T2454" i="5"/>
  <c r="S2464" i="5"/>
  <c r="T2488" i="5"/>
  <c r="AB1947" i="5"/>
  <c r="AB1959" i="5"/>
  <c r="AB1968" i="5"/>
  <c r="AB1976" i="5"/>
  <c r="T1982" i="5"/>
  <c r="AB2015" i="5"/>
  <c r="AB2044" i="5"/>
  <c r="T2054" i="5"/>
  <c r="AB2057" i="5"/>
  <c r="T2064" i="5"/>
  <c r="AB2068" i="5"/>
  <c r="T2070" i="5"/>
  <c r="S2076" i="5"/>
  <c r="AB2092" i="5"/>
  <c r="S2103" i="5"/>
  <c r="T2136" i="5"/>
  <c r="T2144" i="5"/>
  <c r="AB2149" i="5"/>
  <c r="AB2210" i="5"/>
  <c r="T2222" i="5"/>
  <c r="AB2289" i="5"/>
  <c r="AB2290" i="5"/>
  <c r="T2355" i="5"/>
  <c r="AB2429" i="5"/>
  <c r="S2462" i="5"/>
  <c r="T2492" i="5"/>
  <c r="AB2141" i="5"/>
  <c r="AB2256" i="5"/>
  <c r="AB2282" i="5"/>
  <c r="S1987" i="5"/>
  <c r="AB2036" i="5"/>
  <c r="AB2090" i="5"/>
  <c r="AB2107" i="5"/>
  <c r="AB2134" i="5"/>
  <c r="T2155" i="5"/>
  <c r="AB2173" i="5"/>
  <c r="R2215" i="5"/>
  <c r="S2218" i="5"/>
  <c r="AB2232" i="5"/>
  <c r="AB2283" i="5"/>
  <c r="AB2298" i="5"/>
  <c r="S2333" i="5"/>
  <c r="AB2337" i="5"/>
  <c r="AB2341" i="5"/>
  <c r="AB2440" i="5"/>
  <c r="S2466" i="5"/>
  <c r="T2469" i="5"/>
  <c r="AB2476" i="5"/>
  <c r="R61" i="5"/>
  <c r="R73" i="5"/>
  <c r="R109" i="5"/>
  <c r="R133" i="5"/>
  <c r="R169" i="5"/>
  <c r="R195" i="5"/>
  <c r="R67" i="5"/>
  <c r="X67" i="5"/>
  <c r="R19" i="5"/>
  <c r="X35" i="5"/>
  <c r="R35" i="5"/>
  <c r="R139" i="5"/>
  <c r="R227" i="5"/>
  <c r="R41" i="5"/>
  <c r="R143" i="5"/>
  <c r="R177" i="5"/>
  <c r="X183" i="5"/>
  <c r="R183" i="5"/>
  <c r="R241" i="5"/>
  <c r="X247" i="5"/>
  <c r="R247" i="5"/>
  <c r="R259" i="5"/>
  <c r="R173" i="5"/>
  <c r="R93" i="5"/>
  <c r="R99" i="5"/>
  <c r="R135" i="5"/>
  <c r="X159" i="5"/>
  <c r="R159" i="5"/>
  <c r="R373" i="5"/>
  <c r="R27" i="5"/>
  <c r="R83" i="5"/>
  <c r="R51" i="5"/>
  <c r="R77" i="5"/>
  <c r="R89" i="5"/>
  <c r="R199" i="5"/>
  <c r="R131" i="5"/>
  <c r="R57" i="5"/>
  <c r="R105" i="5"/>
  <c r="R119" i="5"/>
  <c r="R197" i="5"/>
  <c r="R223" i="5"/>
  <c r="R229" i="5"/>
  <c r="R337" i="5"/>
  <c r="R113" i="5"/>
  <c r="R155" i="5"/>
  <c r="X155" i="5"/>
  <c r="R203" i="5"/>
  <c r="R249" i="5"/>
  <c r="R39" i="5"/>
  <c r="R55" i="5"/>
  <c r="AB140" i="5"/>
  <c r="AB156" i="5"/>
  <c r="AB160" i="5"/>
  <c r="R179" i="5"/>
  <c r="AB204" i="5"/>
  <c r="AB211" i="5"/>
  <c r="R231" i="5"/>
  <c r="R267" i="5"/>
  <c r="R289" i="5"/>
  <c r="X295" i="5"/>
  <c r="R295" i="5"/>
  <c r="R360" i="5"/>
  <c r="X404" i="5"/>
  <c r="R404" i="5"/>
  <c r="R437" i="5"/>
  <c r="X444" i="5"/>
  <c r="R444" i="5"/>
  <c r="X448" i="5"/>
  <c r="AB455" i="5"/>
  <c r="R457" i="5"/>
  <c r="R492" i="5"/>
  <c r="X548" i="5"/>
  <c r="R693" i="5"/>
  <c r="R699" i="5"/>
  <c r="R704" i="5"/>
  <c r="AB222" i="5"/>
  <c r="AB254" i="5"/>
  <c r="AB258" i="5"/>
  <c r="AB270" i="5"/>
  <c r="AB363" i="5"/>
  <c r="R389" i="5"/>
  <c r="R421" i="5"/>
  <c r="X428" i="5"/>
  <c r="R428" i="5"/>
  <c r="X432" i="5"/>
  <c r="X620" i="5"/>
  <c r="R620" i="5"/>
  <c r="AB307" i="5"/>
  <c r="R341" i="5"/>
  <c r="R397" i="5"/>
  <c r="R42" i="5"/>
  <c r="X55" i="5"/>
  <c r="AB118" i="5"/>
  <c r="AB130" i="5"/>
  <c r="X179" i="5"/>
  <c r="AB182" i="5"/>
  <c r="AB194" i="5"/>
  <c r="R235" i="5"/>
  <c r="X263" i="5"/>
  <c r="AB315" i="5"/>
  <c r="R325" i="5"/>
  <c r="AB330" i="5"/>
  <c r="R348" i="5"/>
  <c r="R353" i="5"/>
  <c r="R356" i="5"/>
  <c r="R380" i="5"/>
  <c r="AB395" i="5"/>
  <c r="X400" i="5"/>
  <c r="R445" i="5"/>
  <c r="R516" i="5"/>
  <c r="R532" i="5"/>
  <c r="X660" i="5"/>
  <c r="R660" i="5"/>
  <c r="AB867" i="5"/>
  <c r="T1003" i="5"/>
  <c r="S1003" i="5"/>
  <c r="AB1003" i="5"/>
  <c r="AB290" i="5"/>
  <c r="X408" i="5"/>
  <c r="R58" i="5"/>
  <c r="X23" i="5"/>
  <c r="AB26" i="5"/>
  <c r="AB22" i="5"/>
  <c r="R25" i="5"/>
  <c r="R47" i="5"/>
  <c r="R63" i="5"/>
  <c r="R79" i="5"/>
  <c r="R95" i="5"/>
  <c r="AB108" i="5"/>
  <c r="AB124" i="5"/>
  <c r="AB128" i="5"/>
  <c r="AB146" i="5"/>
  <c r="R147" i="5"/>
  <c r="X167" i="5"/>
  <c r="AB172" i="5"/>
  <c r="AB188" i="5"/>
  <c r="AB192" i="5"/>
  <c r="AB206" i="5"/>
  <c r="AB214" i="5"/>
  <c r="AB226" i="5"/>
  <c r="X231" i="5"/>
  <c r="R273" i="5"/>
  <c r="R285" i="5"/>
  <c r="R291" i="5"/>
  <c r="AB294" i="5"/>
  <c r="AB337" i="5"/>
  <c r="AB383" i="5"/>
  <c r="R405" i="5"/>
  <c r="R409" i="5"/>
  <c r="X412" i="5"/>
  <c r="R412" i="5"/>
  <c r="X416" i="5"/>
  <c r="R449" i="5"/>
  <c r="AB471" i="5"/>
  <c r="AB477" i="5"/>
  <c r="AB529" i="5"/>
  <c r="R606" i="5"/>
  <c r="R642" i="5"/>
  <c r="AB266" i="5"/>
  <c r="AB134" i="5"/>
  <c r="AB142" i="5"/>
  <c r="AB198" i="5"/>
  <c r="X267" i="5"/>
  <c r="AB306" i="5"/>
  <c r="AB323" i="5"/>
  <c r="R345" i="5"/>
  <c r="AB349" i="5"/>
  <c r="AB381" i="5"/>
  <c r="R385" i="5"/>
  <c r="R429" i="5"/>
  <c r="X436" i="5"/>
  <c r="R436" i="5"/>
  <c r="X440" i="5"/>
  <c r="R456" i="5"/>
  <c r="R760" i="5"/>
  <c r="X760" i="5"/>
  <c r="R317" i="5"/>
  <c r="X110" i="5"/>
  <c r="AB138" i="5"/>
  <c r="AB154" i="5"/>
  <c r="AB158" i="5"/>
  <c r="AB202" i="5"/>
  <c r="AB223" i="5"/>
  <c r="AB238" i="5"/>
  <c r="AB246" i="5"/>
  <c r="R257" i="5"/>
  <c r="AB259" i="5"/>
  <c r="AB274" i="5"/>
  <c r="R275" i="5"/>
  <c r="R333" i="5"/>
  <c r="R357" i="5"/>
  <c r="R364" i="5"/>
  <c r="R368" i="5"/>
  <c r="X396" i="5"/>
  <c r="R396" i="5"/>
  <c r="X511" i="5"/>
  <c r="R566" i="5"/>
  <c r="R638" i="5"/>
  <c r="AB322" i="5"/>
  <c r="AB32" i="5"/>
  <c r="R101" i="5"/>
  <c r="R145" i="5"/>
  <c r="AB162" i="5"/>
  <c r="R165" i="5"/>
  <c r="AB227" i="5"/>
  <c r="AB247" i="5"/>
  <c r="R269" i="5"/>
  <c r="R309" i="5"/>
  <c r="AB314" i="5"/>
  <c r="R321" i="5"/>
  <c r="AB331" i="5"/>
  <c r="R349" i="5"/>
  <c r="R377" i="5"/>
  <c r="R381" i="5"/>
  <c r="X388" i="5"/>
  <c r="R388" i="5"/>
  <c r="R413" i="5"/>
  <c r="X420" i="5"/>
  <c r="R420" i="5"/>
  <c r="X424" i="5"/>
  <c r="R448" i="5"/>
  <c r="AB545" i="5"/>
  <c r="R544" i="5"/>
  <c r="X564" i="5"/>
  <c r="R564" i="5"/>
  <c r="AB611" i="5"/>
  <c r="AB623" i="5"/>
  <c r="S623" i="5"/>
  <c r="T655" i="5"/>
  <c r="S655" i="5"/>
  <c r="R666" i="5"/>
  <c r="X666" i="5"/>
  <c r="S704" i="5"/>
  <c r="AB704" i="5"/>
  <c r="T704" i="5"/>
  <c r="AB752" i="5"/>
  <c r="R752" i="5"/>
  <c r="AB849" i="5"/>
  <c r="T849" i="5"/>
  <c r="S849" i="5"/>
  <c r="R1408" i="5"/>
  <c r="R1414" i="5"/>
  <c r="R1553" i="5"/>
  <c r="AB243" i="5"/>
  <c r="AB279" i="5"/>
  <c r="AB311" i="5"/>
  <c r="AB319" i="5"/>
  <c r="AB327" i="5"/>
  <c r="AB344" i="5"/>
  <c r="AB347" i="5"/>
  <c r="R361" i="5"/>
  <c r="R379" i="5"/>
  <c r="AB388" i="5"/>
  <c r="R392" i="5"/>
  <c r="R393" i="5"/>
  <c r="R407" i="5"/>
  <c r="AB417" i="5"/>
  <c r="AB425" i="5"/>
  <c r="AB433" i="5"/>
  <c r="AB441" i="5"/>
  <c r="AB449" i="5"/>
  <c r="R461" i="5"/>
  <c r="AB489" i="5"/>
  <c r="AB501" i="5"/>
  <c r="AB505" i="5"/>
  <c r="AB513" i="5"/>
  <c r="AB521" i="5"/>
  <c r="AB537" i="5"/>
  <c r="X547" i="5"/>
  <c r="R556" i="5"/>
  <c r="AB571" i="5"/>
  <c r="T623" i="5"/>
  <c r="R626" i="5"/>
  <c r="R658" i="5"/>
  <c r="AB661" i="5"/>
  <c r="T661" i="5"/>
  <c r="R683" i="5"/>
  <c r="S724" i="5"/>
  <c r="AB724" i="5"/>
  <c r="T724" i="5"/>
  <c r="X770" i="5"/>
  <c r="R901" i="5"/>
  <c r="T932" i="5"/>
  <c r="S932" i="5"/>
  <c r="AB295" i="5"/>
  <c r="AB302" i="5"/>
  <c r="AB355" i="5"/>
  <c r="AB379" i="5"/>
  <c r="AB407" i="5"/>
  <c r="AB415" i="5"/>
  <c r="AB423" i="5"/>
  <c r="AB424" i="5"/>
  <c r="AB431" i="5"/>
  <c r="AB432" i="5"/>
  <c r="AB439" i="5"/>
  <c r="AB440" i="5"/>
  <c r="AB447" i="5"/>
  <c r="AB448" i="5"/>
  <c r="R452" i="5"/>
  <c r="AB461" i="5"/>
  <c r="X507" i="5"/>
  <c r="X552" i="5"/>
  <c r="R552" i="5"/>
  <c r="X560" i="5"/>
  <c r="R560" i="5"/>
  <c r="AB563" i="5"/>
  <c r="R582" i="5"/>
  <c r="X628" i="5"/>
  <c r="R628" i="5"/>
  <c r="AB631" i="5"/>
  <c r="R831" i="5"/>
  <c r="R512" i="5"/>
  <c r="R598" i="5"/>
  <c r="R618" i="5"/>
  <c r="R691" i="5"/>
  <c r="X828" i="5"/>
  <c r="T884" i="5"/>
  <c r="S884" i="5"/>
  <c r="T971" i="5"/>
  <c r="AB971" i="5"/>
  <c r="S971" i="5"/>
  <c r="AB234" i="5"/>
  <c r="AB250" i="5"/>
  <c r="AB271" i="5"/>
  <c r="AB286" i="5"/>
  <c r="AB291" i="5"/>
  <c r="X302" i="5"/>
  <c r="AB304" i="5"/>
  <c r="AB371" i="5"/>
  <c r="R372" i="5"/>
  <c r="AB387" i="5"/>
  <c r="AB391" i="5"/>
  <c r="AB392" i="5"/>
  <c r="AB399" i="5"/>
  <c r="AB460" i="5"/>
  <c r="AB462" i="5"/>
  <c r="R504" i="5"/>
  <c r="R520" i="5"/>
  <c r="AB533" i="5"/>
  <c r="R536" i="5"/>
  <c r="AB547" i="5"/>
  <c r="AB555" i="5"/>
  <c r="X584" i="5"/>
  <c r="R586" i="5"/>
  <c r="AB599" i="5"/>
  <c r="X636" i="5"/>
  <c r="R636" i="5"/>
  <c r="AB651" i="5"/>
  <c r="S651" i="5"/>
  <c r="AB677" i="5"/>
  <c r="T677" i="5"/>
  <c r="T698" i="5"/>
  <c r="S698" i="5"/>
  <c r="S716" i="5"/>
  <c r="AB716" i="5"/>
  <c r="T716" i="5"/>
  <c r="X736" i="5"/>
  <c r="S746" i="5"/>
  <c r="T746" i="5"/>
  <c r="R776" i="5"/>
  <c r="X776" i="5"/>
  <c r="X790" i="5"/>
  <c r="R933" i="5"/>
  <c r="T955" i="5"/>
  <c r="AB955" i="5"/>
  <c r="S955" i="5"/>
  <c r="T962" i="5"/>
  <c r="S962" i="5"/>
  <c r="AB967" i="5"/>
  <c r="X1114" i="5"/>
  <c r="AB287" i="5"/>
  <c r="AB309" i="5"/>
  <c r="AB317" i="5"/>
  <c r="AB325" i="5"/>
  <c r="AB335" i="5"/>
  <c r="AB413" i="5"/>
  <c r="AB421" i="5"/>
  <c r="AB429" i="5"/>
  <c r="AB437" i="5"/>
  <c r="AB445" i="5"/>
  <c r="X455" i="5"/>
  <c r="AB463" i="5"/>
  <c r="AB504" i="5"/>
  <c r="AB559" i="5"/>
  <c r="R614" i="5"/>
  <c r="AB619" i="5"/>
  <c r="T619" i="5"/>
  <c r="S619" i="5"/>
  <c r="X624" i="5"/>
  <c r="R624" i="5"/>
  <c r="R692" i="5"/>
  <c r="X692" i="5"/>
  <c r="X728" i="5"/>
  <c r="T749" i="5"/>
  <c r="AB749" i="5"/>
  <c r="AB757" i="5"/>
  <c r="S762" i="5"/>
  <c r="T762" i="5"/>
  <c r="S813" i="5"/>
  <c r="AB813" i="5"/>
  <c r="T813" i="5"/>
  <c r="T878" i="5"/>
  <c r="S878" i="5"/>
  <c r="AB403" i="5"/>
  <c r="AB411" i="5"/>
  <c r="AB419" i="5"/>
  <c r="AB420" i="5"/>
  <c r="AB427" i="5"/>
  <c r="AB428" i="5"/>
  <c r="AB435" i="5"/>
  <c r="AB436" i="5"/>
  <c r="AB443" i="5"/>
  <c r="AB444" i="5"/>
  <c r="AB456" i="5"/>
  <c r="AB470" i="5"/>
  <c r="AB497" i="5"/>
  <c r="R508" i="5"/>
  <c r="R540" i="5"/>
  <c r="X568" i="5"/>
  <c r="R568" i="5"/>
  <c r="X572" i="5"/>
  <c r="R572" i="5"/>
  <c r="R610" i="5"/>
  <c r="R622" i="5"/>
  <c r="AB635" i="5"/>
  <c r="S635" i="5"/>
  <c r="R654" i="5"/>
  <c r="R767" i="5"/>
  <c r="T821" i="5"/>
  <c r="S821" i="5"/>
  <c r="X1062" i="5"/>
  <c r="AB645" i="5"/>
  <c r="AB655" i="5"/>
  <c r="S679" i="5"/>
  <c r="AB746" i="5"/>
  <c r="X758" i="5"/>
  <c r="AB762" i="5"/>
  <c r="R772" i="5"/>
  <c r="X772" i="5"/>
  <c r="R800" i="5"/>
  <c r="T807" i="5"/>
  <c r="AB807" i="5"/>
  <c r="T839" i="5"/>
  <c r="AB839" i="5"/>
  <c r="S839" i="5"/>
  <c r="T843" i="5"/>
  <c r="AB843" i="5"/>
  <c r="T854" i="5"/>
  <c r="S854" i="5"/>
  <c r="X862" i="5"/>
  <c r="T870" i="5"/>
  <c r="S870" i="5"/>
  <c r="AB891" i="5"/>
  <c r="T900" i="5"/>
  <c r="S900" i="5"/>
  <c r="R913" i="5"/>
  <c r="T983" i="5"/>
  <c r="S983" i="5"/>
  <c r="T1023" i="5"/>
  <c r="S1023" i="5"/>
  <c r="X1038" i="5"/>
  <c r="AB1046" i="5"/>
  <c r="T1046" i="5"/>
  <c r="S1046" i="5"/>
  <c r="X1078" i="5"/>
  <c r="T1265" i="5"/>
  <c r="S1265" i="5"/>
  <c r="AB1265" i="5"/>
  <c r="AB602" i="5"/>
  <c r="AB629" i="5"/>
  <c r="AB634" i="5"/>
  <c r="AB650" i="5"/>
  <c r="R652" i="5"/>
  <c r="AB667" i="5"/>
  <c r="R668" i="5"/>
  <c r="AB673" i="5"/>
  <c r="AB678" i="5"/>
  <c r="AB700" i="5"/>
  <c r="AB725" i="5"/>
  <c r="AB733" i="5"/>
  <c r="AB740" i="5"/>
  <c r="AB742" i="5"/>
  <c r="T744" i="5"/>
  <c r="T752" i="5"/>
  <c r="AB754" i="5"/>
  <c r="R764" i="5"/>
  <c r="X764" i="5"/>
  <c r="AB766" i="5"/>
  <c r="R766" i="5"/>
  <c r="T802" i="5"/>
  <c r="X824" i="5"/>
  <c r="S828" i="5"/>
  <c r="AB828" i="5"/>
  <c r="AB852" i="5"/>
  <c r="T868" i="5"/>
  <c r="S868" i="5"/>
  <c r="AB885" i="5"/>
  <c r="T930" i="5"/>
  <c r="S930" i="5"/>
  <c r="T943" i="5"/>
  <c r="S943" i="5"/>
  <c r="T951" i="5"/>
  <c r="S951" i="5"/>
  <c r="T958" i="5"/>
  <c r="S958" i="5"/>
  <c r="X990" i="5"/>
  <c r="R1009" i="5"/>
  <c r="T1027" i="5"/>
  <c r="S1027" i="5"/>
  <c r="X1091" i="5"/>
  <c r="R1132" i="5"/>
  <c r="X1132" i="5"/>
  <c r="AB679" i="5"/>
  <c r="T770" i="5"/>
  <c r="S770" i="5"/>
  <c r="R784" i="5"/>
  <c r="T790" i="5"/>
  <c r="S790" i="5"/>
  <c r="R804" i="5"/>
  <c r="X804" i="5"/>
  <c r="X812" i="5"/>
  <c r="R812" i="5"/>
  <c r="T815" i="5"/>
  <c r="S815" i="5"/>
  <c r="T837" i="5"/>
  <c r="S837" i="5"/>
  <c r="S840" i="5"/>
  <c r="AB840" i="5"/>
  <c r="T840" i="5"/>
  <c r="X878" i="5"/>
  <c r="R885" i="5"/>
  <c r="T935" i="5"/>
  <c r="AB935" i="5"/>
  <c r="S935" i="5"/>
  <c r="R953" i="5"/>
  <c r="T1004" i="5"/>
  <c r="S1004" i="5"/>
  <c r="AB1010" i="5"/>
  <c r="T1010" i="5"/>
  <c r="S1010" i="5"/>
  <c r="R1025" i="5"/>
  <c r="R1201" i="5"/>
  <c r="AB605" i="5"/>
  <c r="AB663" i="5"/>
  <c r="S681" i="5"/>
  <c r="AB695" i="5"/>
  <c r="AB726" i="5"/>
  <c r="AB734" i="5"/>
  <c r="S743" i="5"/>
  <c r="AB758" i="5"/>
  <c r="AB770" i="5"/>
  <c r="AB790" i="5"/>
  <c r="S796" i="5"/>
  <c r="T796" i="5"/>
  <c r="S820" i="5"/>
  <c r="AB820" i="5"/>
  <c r="T824" i="5"/>
  <c r="T841" i="5"/>
  <c r="S848" i="5"/>
  <c r="AB848" i="5"/>
  <c r="T848" i="5"/>
  <c r="T857" i="5"/>
  <c r="S857" i="5"/>
  <c r="AB865" i="5"/>
  <c r="T874" i="5"/>
  <c r="S874" i="5"/>
  <c r="T879" i="5"/>
  <c r="AB879" i="5"/>
  <c r="S879" i="5"/>
  <c r="T894" i="5"/>
  <c r="R941" i="5"/>
  <c r="T947" i="5"/>
  <c r="AB947" i="5"/>
  <c r="S947" i="5"/>
  <c r="T954" i="5"/>
  <c r="S954" i="5"/>
  <c r="T966" i="5"/>
  <c r="S966" i="5"/>
  <c r="T984" i="5"/>
  <c r="S984" i="5"/>
  <c r="T999" i="5"/>
  <c r="S999" i="5"/>
  <c r="T1022" i="5"/>
  <c r="S1022" i="5"/>
  <c r="AB1023" i="5"/>
  <c r="X1027" i="5"/>
  <c r="AB1030" i="5"/>
  <c r="T1030" i="5"/>
  <c r="S1030" i="5"/>
  <c r="X1047" i="5"/>
  <c r="X1063" i="5"/>
  <c r="T1087" i="5"/>
  <c r="S1087" i="5"/>
  <c r="AB1087" i="5"/>
  <c r="T1108" i="5"/>
  <c r="S1108" i="5"/>
  <c r="R1147" i="5"/>
  <c r="X1147" i="5"/>
  <c r="AB452" i="5"/>
  <c r="AB625" i="5"/>
  <c r="T631" i="5"/>
  <c r="AB637" i="5"/>
  <c r="T647" i="5"/>
  <c r="AB653" i="5"/>
  <c r="AB657" i="5"/>
  <c r="S663" i="5"/>
  <c r="S695" i="5"/>
  <c r="AB709" i="5"/>
  <c r="AB717" i="5"/>
  <c r="X756" i="5"/>
  <c r="T764" i="5"/>
  <c r="S772" i="5"/>
  <c r="T772" i="5"/>
  <c r="AB774" i="5"/>
  <c r="R774" i="5"/>
  <c r="R783" i="5"/>
  <c r="R792" i="5"/>
  <c r="X792" i="5"/>
  <c r="AB798" i="5"/>
  <c r="T809" i="5"/>
  <c r="S809" i="5"/>
  <c r="AB824" i="5"/>
  <c r="T828" i="5"/>
  <c r="S843" i="5"/>
  <c r="T851" i="5"/>
  <c r="S851" i="5"/>
  <c r="T866" i="5"/>
  <c r="S866" i="5"/>
  <c r="S871" i="5"/>
  <c r="R917" i="5"/>
  <c r="AB951" i="5"/>
  <c r="R969" i="5"/>
  <c r="AB1027" i="5"/>
  <c r="T1119" i="5"/>
  <c r="AB1119" i="5"/>
  <c r="S1119" i="5"/>
  <c r="R1139" i="5"/>
  <c r="AB590" i="5"/>
  <c r="AB618" i="5"/>
  <c r="S625" i="5"/>
  <c r="S637" i="5"/>
  <c r="AB642" i="5"/>
  <c r="S643" i="5"/>
  <c r="S653" i="5"/>
  <c r="AB658" i="5"/>
  <c r="AB665" i="5"/>
  <c r="T669" i="5"/>
  <c r="AB675" i="5"/>
  <c r="R676" i="5"/>
  <c r="T680" i="5"/>
  <c r="S689" i="5"/>
  <c r="AB692" i="5"/>
  <c r="T708" i="5"/>
  <c r="AB714" i="5"/>
  <c r="AB722" i="5"/>
  <c r="S727" i="5"/>
  <c r="AB728" i="5"/>
  <c r="S735" i="5"/>
  <c r="AB736" i="5"/>
  <c r="S742" i="5"/>
  <c r="T748" i="5"/>
  <c r="AB750" i="5"/>
  <c r="R750" i="5"/>
  <c r="S780" i="5"/>
  <c r="T780" i="5"/>
  <c r="X800" i="5"/>
  <c r="T820" i="5"/>
  <c r="AB834" i="5"/>
  <c r="S834" i="5"/>
  <c r="AB846" i="5"/>
  <c r="AB866" i="5"/>
  <c r="T872" i="5"/>
  <c r="S872" i="5"/>
  <c r="R881" i="5"/>
  <c r="AB883" i="5"/>
  <c r="T886" i="5"/>
  <c r="T902" i="5"/>
  <c r="S902" i="5"/>
  <c r="X995" i="5"/>
  <c r="X999" i="5"/>
  <c r="AB1002" i="5"/>
  <c r="T1002" i="5"/>
  <c r="S1002" i="5"/>
  <c r="T1100" i="5"/>
  <c r="S1100" i="5"/>
  <c r="S1169" i="5"/>
  <c r="AB1169" i="5"/>
  <c r="T1169" i="5"/>
  <c r="AB606" i="5"/>
  <c r="AB670" i="5"/>
  <c r="S697" i="5"/>
  <c r="R768" i="5"/>
  <c r="T776" i="5"/>
  <c r="R788" i="5"/>
  <c r="T792" i="5"/>
  <c r="S804" i="5"/>
  <c r="T804" i="5"/>
  <c r="AB812" i="5"/>
  <c r="X820" i="5"/>
  <c r="AB829" i="5"/>
  <c r="T887" i="5"/>
  <c r="S887" i="5"/>
  <c r="X931" i="5"/>
  <c r="AB954" i="5"/>
  <c r="AB999"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AB978" i="5"/>
  <c r="S986" i="5"/>
  <c r="T990" i="5"/>
  <c r="AB995" i="5"/>
  <c r="S1015" i="5"/>
  <c r="AB1019" i="5"/>
  <c r="S1035" i="5"/>
  <c r="S1048" i="5"/>
  <c r="T1050" i="5"/>
  <c r="S1055" i="5"/>
  <c r="S1060" i="5"/>
  <c r="AB1062" i="5"/>
  <c r="S1066" i="5"/>
  <c r="T1080" i="5"/>
  <c r="S1080" i="5"/>
  <c r="S1083" i="5"/>
  <c r="S1088" i="5"/>
  <c r="S1122" i="5"/>
  <c r="S1123" i="5"/>
  <c r="AB1138" i="5"/>
  <c r="T1149" i="5"/>
  <c r="T1153" i="5"/>
  <c r="X1160" i="5"/>
  <c r="S1172" i="5"/>
  <c r="S1173" i="5"/>
  <c r="S1180" i="5"/>
  <c r="T1180" i="5"/>
  <c r="S1181" i="5"/>
  <c r="S1185" i="5"/>
  <c r="S1189" i="5"/>
  <c r="T1202" i="5"/>
  <c r="AB1202" i="5"/>
  <c r="S1202" i="5"/>
  <c r="S1205" i="5"/>
  <c r="AB1205" i="5"/>
  <c r="AB1213" i="5"/>
  <c r="R1229" i="5"/>
  <c r="T1311" i="5"/>
  <c r="S1311" i="5"/>
  <c r="AB822" i="5"/>
  <c r="S883" i="5"/>
  <c r="X888" i="5"/>
  <c r="AB920" i="5"/>
  <c r="S939" i="5"/>
  <c r="AB940" i="5"/>
  <c r="AB952" i="5"/>
  <c r="X954" i="5"/>
  <c r="S975" i="5"/>
  <c r="AB979" i="5"/>
  <c r="S991" i="5"/>
  <c r="S1006" i="5"/>
  <c r="R1035" i="5"/>
  <c r="AB1039" i="5"/>
  <c r="S1051" i="5"/>
  <c r="X1083" i="5"/>
  <c r="S1094" i="5"/>
  <c r="S1102" i="5"/>
  <c r="S1103" i="5"/>
  <c r="AB1111" i="5"/>
  <c r="T1122" i="5"/>
  <c r="AB1123" i="5"/>
  <c r="S1165" i="5"/>
  <c r="R1166" i="5"/>
  <c r="AB1172" i="5"/>
  <c r="T1173" i="5"/>
  <c r="R1178" i="5"/>
  <c r="R1205" i="5"/>
  <c r="X1236" i="5"/>
  <c r="AB850" i="5"/>
  <c r="AB939" i="5"/>
  <c r="AB1015" i="5"/>
  <c r="AB1035" i="5"/>
  <c r="AB1055" i="5"/>
  <c r="AB1066" i="5"/>
  <c r="AB1083" i="5"/>
  <c r="T1094" i="5"/>
  <c r="R1095" i="5"/>
  <c r="T1124" i="5"/>
  <c r="S1124" i="5"/>
  <c r="AB1130" i="5"/>
  <c r="X1154" i="5"/>
  <c r="AB1181" i="5"/>
  <c r="AB1189" i="5"/>
  <c r="S1201" i="5"/>
  <c r="AB1201" i="5"/>
  <c r="R1213" i="5"/>
  <c r="S1221" i="5"/>
  <c r="AB1221" i="5"/>
  <c r="T1221" i="5"/>
  <c r="X1224" i="5"/>
  <c r="AB1260" i="5"/>
  <c r="T1487" i="5"/>
  <c r="AB1487" i="5"/>
  <c r="S1487" i="5"/>
  <c r="T1521" i="5"/>
  <c r="S1521" i="5"/>
  <c r="T1828" i="5"/>
  <c r="S1828" i="5"/>
  <c r="AB1837" i="5"/>
  <c r="S1837" i="5"/>
  <c r="AB975" i="5"/>
  <c r="AB991" i="5"/>
  <c r="AB1051" i="5"/>
  <c r="T1067" i="5"/>
  <c r="S1067" i="5"/>
  <c r="S1075" i="5"/>
  <c r="AB1133" i="5"/>
  <c r="R1133" i="5"/>
  <c r="R1165" i="5"/>
  <c r="R1173" i="5"/>
  <c r="T1174" i="5"/>
  <c r="AB1174" i="5"/>
  <c r="T1188" i="5"/>
  <c r="S1188" i="5"/>
  <c r="AB753" i="5"/>
  <c r="AB786" i="5"/>
  <c r="AB802" i="5"/>
  <c r="AB826" i="5"/>
  <c r="T836" i="5"/>
  <c r="AB847" i="5"/>
  <c r="S850" i="5"/>
  <c r="AB853" i="5"/>
  <c r="S867" i="5"/>
  <c r="AB886" i="5"/>
  <c r="AB904" i="5"/>
  <c r="AB919" i="5"/>
  <c r="S921" i="5"/>
  <c r="AB923" i="5"/>
  <c r="AB925" i="5"/>
  <c r="AB937" i="5"/>
  <c r="AB950" i="5"/>
  <c r="AB968" i="5"/>
  <c r="S970" i="5"/>
  <c r="S980" i="5"/>
  <c r="AB987" i="5"/>
  <c r="S994" i="5"/>
  <c r="AB1011" i="5"/>
  <c r="S1018" i="5"/>
  <c r="AB1031" i="5"/>
  <c r="S1040" i="5"/>
  <c r="S1058" i="5"/>
  <c r="S1068" i="5"/>
  <c r="T1072" i="5"/>
  <c r="S1072" i="5"/>
  <c r="X1075" i="5"/>
  <c r="AB1078" i="5"/>
  <c r="T1116" i="5"/>
  <c r="S1116" i="5"/>
  <c r="AB1127" i="5"/>
  <c r="AB1159" i="5"/>
  <c r="R1161" i="5"/>
  <c r="AB1168" i="5"/>
  <c r="S1168" i="5"/>
  <c r="R1186" i="5"/>
  <c r="AB1239" i="5"/>
  <c r="S1239" i="5"/>
  <c r="S968" i="5"/>
  <c r="AB1007" i="5"/>
  <c r="S1016" i="5"/>
  <c r="S1036" i="5"/>
  <c r="AB1047" i="5"/>
  <c r="S1056" i="5"/>
  <c r="AB1075" i="5"/>
  <c r="T1095" i="5"/>
  <c r="S1095" i="5"/>
  <c r="S1106" i="5"/>
  <c r="S1130" i="5"/>
  <c r="T1137" i="5"/>
  <c r="S1151" i="5"/>
  <c r="T1151" i="5"/>
  <c r="X1152" i="5"/>
  <c r="R1169" i="5"/>
  <c r="S1177" i="5"/>
  <c r="AB1184" i="5"/>
  <c r="S1197" i="5"/>
  <c r="AB1264" i="5"/>
  <c r="T1264" i="5"/>
  <c r="S1264" i="5"/>
  <c r="X1099" i="5"/>
  <c r="AB1185" i="5"/>
  <c r="R1197" i="5"/>
  <c r="AB1204" i="5"/>
  <c r="T1229" i="5"/>
  <c r="S1229" i="5"/>
  <c r="AB1229" i="5"/>
  <c r="AB1443" i="5"/>
  <c r="T1443" i="5"/>
  <c r="S1443" i="5"/>
  <c r="R1225" i="5"/>
  <c r="AB1296" i="5"/>
  <c r="T1296" i="5"/>
  <c r="S1296" i="5"/>
  <c r="AB1328" i="5"/>
  <c r="T1328" i="5"/>
  <c r="S1328" i="5"/>
  <c r="R1349" i="5"/>
  <c r="T1354" i="5"/>
  <c r="S1354" i="5"/>
  <c r="R1357" i="5"/>
  <c r="T1533" i="5"/>
  <c r="S1533" i="5"/>
  <c r="AB1548" i="5"/>
  <c r="S1548" i="5"/>
  <c r="T1548" i="5"/>
  <c r="X1628" i="5"/>
  <c r="T1661" i="5"/>
  <c r="AB1661" i="5"/>
  <c r="T1724" i="5"/>
  <c r="S1724" i="5"/>
  <c r="T2113" i="5"/>
  <c r="AB2113" i="5"/>
  <c r="AB1091" i="5"/>
  <c r="AB1191" i="5"/>
  <c r="AB1196" i="5"/>
  <c r="S1210" i="5"/>
  <c r="T1213" i="5"/>
  <c r="T1236" i="5"/>
  <c r="AB1236" i="5"/>
  <c r="T1242" i="5"/>
  <c r="S1242" i="5"/>
  <c r="AB1272" i="5"/>
  <c r="T1343" i="5"/>
  <c r="AB1343" i="5"/>
  <c r="S1343" i="5"/>
  <c r="T1390" i="5"/>
  <c r="S1390" i="5"/>
  <c r="T1411" i="5"/>
  <c r="S1411" i="5"/>
  <c r="R1422" i="5"/>
  <c r="S1450" i="5"/>
  <c r="T1450" i="5"/>
  <c r="R1466" i="5"/>
  <c r="S1584" i="5"/>
  <c r="T1584" i="5"/>
  <c r="T1216" i="5"/>
  <c r="AB1216" i="5"/>
  <c r="T1225" i="5"/>
  <c r="S1225" i="5"/>
  <c r="T1256" i="5"/>
  <c r="S1256" i="5"/>
  <c r="T1258" i="5"/>
  <c r="S1258" i="5"/>
  <c r="AB1268" i="5"/>
  <c r="T1268" i="5"/>
  <c r="R1297" i="5"/>
  <c r="R1365" i="5"/>
  <c r="R1379" i="5"/>
  <c r="AB1394" i="5"/>
  <c r="T1394" i="5"/>
  <c r="S1394" i="5"/>
  <c r="S1467" i="5"/>
  <c r="T1467" i="5"/>
  <c r="T1234" i="5"/>
  <c r="S1234" i="5"/>
  <c r="T1241" i="5"/>
  <c r="S1241" i="5"/>
  <c r="T1261" i="5"/>
  <c r="S1261" i="5"/>
  <c r="T1270" i="5"/>
  <c r="S1270" i="5"/>
  <c r="AB1292" i="5"/>
  <c r="T1298" i="5"/>
  <c r="S1298" i="5"/>
  <c r="T1330" i="5"/>
  <c r="S1330" i="5"/>
  <c r="AB1366" i="5"/>
  <c r="T1366" i="5"/>
  <c r="S1366" i="5"/>
  <c r="R1397" i="5"/>
  <c r="T1403" i="5"/>
  <c r="S1403" i="5"/>
  <c r="R1465" i="5"/>
  <c r="T1543" i="5"/>
  <c r="S1543" i="5"/>
  <c r="AB1543" i="5"/>
  <c r="T1572" i="5"/>
  <c r="S1572" i="5"/>
  <c r="AB1063" i="5"/>
  <c r="AB1099" i="5"/>
  <c r="S1204" i="5"/>
  <c r="AB1234" i="5"/>
  <c r="T1246" i="5"/>
  <c r="S1246" i="5"/>
  <c r="T1254" i="5"/>
  <c r="S1254" i="5"/>
  <c r="S1268" i="5"/>
  <c r="T1285" i="5"/>
  <c r="T1288" i="5"/>
  <c r="S1288" i="5"/>
  <c r="T1290" i="5"/>
  <c r="S1290" i="5"/>
  <c r="T1293" i="5"/>
  <c r="S1293" i="5"/>
  <c r="T1325" i="5"/>
  <c r="S1325" i="5"/>
  <c r="X1336" i="5"/>
  <c r="AB1356" i="5"/>
  <c r="T1356" i="5"/>
  <c r="S1356" i="5"/>
  <c r="AB1450" i="5"/>
  <c r="T1541" i="5"/>
  <c r="S1541" i="5"/>
  <c r="X1546" i="5"/>
  <c r="T1676" i="5"/>
  <c r="S1676" i="5"/>
  <c r="S1207" i="5"/>
  <c r="S1220" i="5"/>
  <c r="AB1256" i="5"/>
  <c r="AB1269" i="5"/>
  <c r="T1271" i="5"/>
  <c r="S1271" i="5"/>
  <c r="S1279" i="5"/>
  <c r="AB1285" i="5"/>
  <c r="X1356" i="5"/>
  <c r="AB1381" i="5"/>
  <c r="T1384" i="5"/>
  <c r="S1384" i="5"/>
  <c r="AB1467" i="5"/>
  <c r="AB1297" i="5"/>
  <c r="S1317" i="5"/>
  <c r="AB1324" i="5"/>
  <c r="AB1329" i="5"/>
  <c r="AB1342" i="5"/>
  <c r="T1364" i="5"/>
  <c r="AB1410" i="5"/>
  <c r="AB1426" i="5"/>
  <c r="T1431" i="5"/>
  <c r="AB1434" i="5"/>
  <c r="T1439" i="5"/>
  <c r="AB1466" i="5"/>
  <c r="T1565" i="5"/>
  <c r="AB1565" i="5"/>
  <c r="T1580" i="5"/>
  <c r="S1580" i="5"/>
  <c r="T1621" i="5"/>
  <c r="AB1621" i="5"/>
  <c r="T1727" i="5"/>
  <c r="S1727" i="5"/>
  <c r="X1732" i="5"/>
  <c r="R1748" i="5"/>
  <c r="T1751" i="5"/>
  <c r="S1751" i="5"/>
  <c r="AB1774" i="5"/>
  <c r="S1777" i="5"/>
  <c r="AB1777" i="5"/>
  <c r="T1777" i="5"/>
  <c r="AB1803" i="5"/>
  <c r="T1803" i="5"/>
  <c r="S1803" i="5"/>
  <c r="T1815" i="5"/>
  <c r="S1815" i="5"/>
  <c r="T1831" i="5"/>
  <c r="S1831" i="5"/>
  <c r="AB1867" i="5"/>
  <c r="AB1257" i="5"/>
  <c r="T1281" i="5"/>
  <c r="AB1284" i="5"/>
  <c r="AB1289" i="5"/>
  <c r="S1302" i="5"/>
  <c r="T1313" i="5"/>
  <c r="AB1316" i="5"/>
  <c r="AB1321" i="5"/>
  <c r="S1334" i="5"/>
  <c r="S1382" i="5"/>
  <c r="AB1390" i="5"/>
  <c r="AB1405" i="5"/>
  <c r="X1438" i="5"/>
  <c r="AB1449" i="5"/>
  <c r="AB1507" i="5"/>
  <c r="AB1515" i="5"/>
  <c r="AB1525" i="5"/>
  <c r="S1525" i="5"/>
  <c r="T1557" i="5"/>
  <c r="AB1557" i="5"/>
  <c r="AB1577" i="5"/>
  <c r="T1692" i="5"/>
  <c r="S1692" i="5"/>
  <c r="AB1724" i="5"/>
  <c r="AB1733" i="5"/>
  <c r="T1733" i="5"/>
  <c r="S1733" i="5"/>
  <c r="T1862" i="5"/>
  <c r="S1862" i="5"/>
  <c r="R1873" i="5"/>
  <c r="R1945" i="5"/>
  <c r="AB1451" i="5"/>
  <c r="X1515" i="5"/>
  <c r="T1597" i="5"/>
  <c r="AB1597" i="5"/>
  <c r="T1612" i="5"/>
  <c r="S1612" i="5"/>
  <c r="AB1632" i="5"/>
  <c r="T1655" i="5"/>
  <c r="S1655" i="5"/>
  <c r="T1687" i="5"/>
  <c r="S1687" i="5"/>
  <c r="AB1782" i="5"/>
  <c r="AB1801" i="5"/>
  <c r="T1813" i="5"/>
  <c r="AB1813" i="5"/>
  <c r="T1300" i="5"/>
  <c r="T1332" i="5"/>
  <c r="S1339" i="5"/>
  <c r="AB1360" i="5"/>
  <c r="AB1481" i="5"/>
  <c r="S1481" i="5"/>
  <c r="T1485" i="5"/>
  <c r="T1489" i="5"/>
  <c r="S1499" i="5"/>
  <c r="S1523" i="5"/>
  <c r="AB1529" i="5"/>
  <c r="S1529" i="5"/>
  <c r="AB1569" i="5"/>
  <c r="AB1639" i="5"/>
  <c r="T1639" i="5"/>
  <c r="S1639" i="5"/>
  <c r="T1652" i="5"/>
  <c r="S1652" i="5"/>
  <c r="T1669" i="5"/>
  <c r="AB1669" i="5"/>
  <c r="T1713" i="5"/>
  <c r="AB1713" i="5"/>
  <c r="T1740" i="5"/>
  <c r="AB1740" i="5"/>
  <c r="S1740" i="5"/>
  <c r="AB1770" i="5"/>
  <c r="S1805" i="5"/>
  <c r="AB1805" i="5"/>
  <c r="T1805" i="5"/>
  <c r="X1840" i="5"/>
  <c r="R1840" i="5"/>
  <c r="S1237" i="5"/>
  <c r="S1245" i="5"/>
  <c r="S1260" i="5"/>
  <c r="S1292" i="5"/>
  <c r="S1297" i="5"/>
  <c r="S1303" i="5"/>
  <c r="S1322" i="5"/>
  <c r="S1324" i="5"/>
  <c r="S1329" i="5"/>
  <c r="T1333" i="5"/>
  <c r="S1335" i="5"/>
  <c r="S1338" i="5"/>
  <c r="S1342" i="5"/>
  <c r="T1346" i="5"/>
  <c r="T1348" i="5"/>
  <c r="AB1358" i="5"/>
  <c r="S1360" i="5"/>
  <c r="T1362" i="5"/>
  <c r="S1396" i="5"/>
  <c r="T1405" i="5"/>
  <c r="S1445" i="5"/>
  <c r="S1463" i="5"/>
  <c r="AB1470" i="5"/>
  <c r="T1483" i="5"/>
  <c r="AB1493" i="5"/>
  <c r="T1493" i="5"/>
  <c r="AB1499" i="5"/>
  <c r="T1523" i="5"/>
  <c r="T1525" i="5"/>
  <c r="T1589" i="5"/>
  <c r="AB1589" i="5"/>
  <c r="AB1609" i="5"/>
  <c r="AB1629" i="5"/>
  <c r="AB1635" i="5"/>
  <c r="S1635" i="5"/>
  <c r="AB1652" i="5"/>
  <c r="AB1664" i="5"/>
  <c r="R1664" i="5"/>
  <c r="T1679" i="5"/>
  <c r="S1679" i="5"/>
  <c r="T1708" i="5"/>
  <c r="S1708" i="5"/>
  <c r="R1713" i="5"/>
  <c r="T1786" i="5"/>
  <c r="AB1786" i="5"/>
  <c r="S1786" i="5"/>
  <c r="X1816" i="5"/>
  <c r="R1893" i="5"/>
  <c r="AB1232" i="5"/>
  <c r="AB1248" i="5"/>
  <c r="S1267" i="5"/>
  <c r="S1286" i="5"/>
  <c r="S1299" i="5"/>
  <c r="S1318" i="5"/>
  <c r="S1320" i="5"/>
  <c r="S1331" i="5"/>
  <c r="AB1336" i="5"/>
  <c r="T1338" i="5"/>
  <c r="S1358" i="5"/>
  <c r="S1380" i="5"/>
  <c r="AB1389" i="5"/>
  <c r="T1410" i="5"/>
  <c r="S1423" i="5"/>
  <c r="S1425" i="5"/>
  <c r="S1433" i="5"/>
  <c r="S1449" i="5"/>
  <c r="S1459" i="5"/>
  <c r="S1461" i="5"/>
  <c r="T1463" i="5"/>
  <c r="T1466" i="5"/>
  <c r="T1481" i="5"/>
  <c r="AB1483" i="5"/>
  <c r="AB1495" i="5"/>
  <c r="AB1505" i="5"/>
  <c r="T1505" i="5"/>
  <c r="AB1509" i="5"/>
  <c r="S1509" i="5"/>
  <c r="R1522" i="5"/>
  <c r="R1534" i="5"/>
  <c r="AB1538" i="5"/>
  <c r="AB1586" i="5"/>
  <c r="S1604" i="5"/>
  <c r="T1616" i="5"/>
  <c r="AB1628" i="5"/>
  <c r="T1647" i="5"/>
  <c r="S1647" i="5"/>
  <c r="AB1684" i="5"/>
  <c r="AB1708" i="5"/>
  <c r="X1708" i="5"/>
  <c r="AB1799" i="5"/>
  <c r="T1799" i="5"/>
  <c r="S1799" i="5"/>
  <c r="R1908" i="5"/>
  <c r="R1916" i="5"/>
  <c r="S1282" i="5"/>
  <c r="S1314" i="5"/>
  <c r="AB1361" i="5"/>
  <c r="AB1425" i="5"/>
  <c r="AB1433" i="5"/>
  <c r="T1449" i="5"/>
  <c r="AB1465" i="5"/>
  <c r="X1470" i="5"/>
  <c r="R1486" i="5"/>
  <c r="R1490" i="5"/>
  <c r="S1493" i="5"/>
  <c r="AB1503" i="5"/>
  <c r="S1503" i="5"/>
  <c r="S1527" i="5"/>
  <c r="T1529" i="5"/>
  <c r="AB1535" i="5"/>
  <c r="S1535" i="5"/>
  <c r="AB1601" i="5"/>
  <c r="T1635" i="5"/>
  <c r="T1693" i="5"/>
  <c r="AB1693" i="5"/>
  <c r="AB1703" i="5"/>
  <c r="T1703" i="5"/>
  <c r="S1703" i="5"/>
  <c r="S1732" i="5"/>
  <c r="T1732" i="5"/>
  <c r="T1738" i="5"/>
  <c r="AB1738" i="5"/>
  <c r="AB1754" i="5"/>
  <c r="T1790" i="5"/>
  <c r="AB1790" i="5"/>
  <c r="S1790" i="5"/>
  <c r="AB1811" i="5"/>
  <c r="T1811" i="5"/>
  <c r="S1811" i="5"/>
  <c r="T1872" i="5"/>
  <c r="AB1872" i="5"/>
  <c r="AB1513" i="5"/>
  <c r="AB1537" i="5"/>
  <c r="AB1542" i="5"/>
  <c r="AB1581" i="5"/>
  <c r="AB1613" i="5"/>
  <c r="AB1671" i="5"/>
  <c r="AB1673" i="5"/>
  <c r="AB1676" i="5"/>
  <c r="AB1689" i="5"/>
  <c r="AB1692" i="5"/>
  <c r="AB1729" i="5"/>
  <c r="AB1741" i="5"/>
  <c r="R1761" i="5"/>
  <c r="AB1762" i="5"/>
  <c r="AB1766" i="5"/>
  <c r="AB1797" i="5"/>
  <c r="AB1807" i="5"/>
  <c r="AB1809" i="5"/>
  <c r="AB1817" i="5"/>
  <c r="AB1829" i="5"/>
  <c r="S1829" i="5"/>
  <c r="T1846" i="5"/>
  <c r="S1846" i="5"/>
  <c r="X1848" i="5"/>
  <c r="R1848" i="5"/>
  <c r="R1877" i="5"/>
  <c r="AB1926" i="5"/>
  <c r="S1926" i="5"/>
  <c r="T1928" i="5"/>
  <c r="AB1928" i="5"/>
  <c r="R1933" i="5"/>
  <c r="T1946" i="5"/>
  <c r="S1946" i="5"/>
  <c r="R1981" i="5"/>
  <c r="AB1697" i="5"/>
  <c r="S1753" i="5"/>
  <c r="T1854" i="5"/>
  <c r="S1854" i="5"/>
  <c r="R1884" i="5"/>
  <c r="R2029" i="5"/>
  <c r="T2108" i="5"/>
  <c r="S2108" i="5"/>
  <c r="AB1519" i="5"/>
  <c r="AB1651" i="5"/>
  <c r="AB1665" i="5"/>
  <c r="AB1668" i="5"/>
  <c r="AB1709" i="5"/>
  <c r="AB1712" i="5"/>
  <c r="AB1717" i="5"/>
  <c r="AB1720" i="5"/>
  <c r="AB1723" i="5"/>
  <c r="T1753" i="5"/>
  <c r="AB1783" i="5"/>
  <c r="AB1847" i="5"/>
  <c r="T1847" i="5"/>
  <c r="AB1895" i="5"/>
  <c r="T1895" i="5"/>
  <c r="T2052" i="5"/>
  <c r="S2052" i="5"/>
  <c r="S1663" i="5"/>
  <c r="S1668" i="5"/>
  <c r="S1683" i="5"/>
  <c r="AB1827" i="5"/>
  <c r="S1827" i="5"/>
  <c r="X1844" i="5"/>
  <c r="T1858" i="5"/>
  <c r="S1858" i="5"/>
  <c r="T1866" i="5"/>
  <c r="S1866" i="5"/>
  <c r="T1890" i="5"/>
  <c r="S1890" i="5"/>
  <c r="R1892" i="5"/>
  <c r="R1897" i="5"/>
  <c r="R1901" i="5"/>
  <c r="R1949" i="5"/>
  <c r="AB1497" i="5"/>
  <c r="S1568" i="5"/>
  <c r="S1600" i="5"/>
  <c r="S1631" i="5"/>
  <c r="S1636" i="5"/>
  <c r="AB1645" i="5"/>
  <c r="AB1648" i="5"/>
  <c r="S1651" i="5"/>
  <c r="AB1653" i="5"/>
  <c r="AB1656" i="5"/>
  <c r="AB1659"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X1824" i="5"/>
  <c r="S1830" i="5"/>
  <c r="AB1855" i="5"/>
  <c r="R1881" i="5"/>
  <c r="R1912" i="5"/>
  <c r="R1921" i="5"/>
  <c r="R1929" i="5"/>
  <c r="R1969" i="5"/>
  <c r="T1972" i="5"/>
  <c r="AB1972" i="5"/>
  <c r="R2033" i="5"/>
  <c r="R2041" i="5"/>
  <c r="R2057" i="5"/>
  <c r="AB1526" i="5"/>
  <c r="AB1585" i="5"/>
  <c r="AB1617" i="5"/>
  <c r="S1620" i="5"/>
  <c r="T1651" i="5"/>
  <c r="AB1667" i="5"/>
  <c r="S1691" i="5"/>
  <c r="AB1711" i="5"/>
  <c r="T1723" i="5"/>
  <c r="S1731" i="5"/>
  <c r="S1755" i="5"/>
  <c r="S1771" i="5"/>
  <c r="T1783" i="5"/>
  <c r="AB1785" i="5"/>
  <c r="S1787" i="5"/>
  <c r="T1793" i="5"/>
  <c r="AB1795" i="5"/>
  <c r="AB1798" i="5"/>
  <c r="S1802" i="5"/>
  <c r="S1810" i="5"/>
  <c r="AB1812" i="5"/>
  <c r="T1827" i="5"/>
  <c r="R1844" i="5"/>
  <c r="S1847" i="5"/>
  <c r="AB1859" i="5"/>
  <c r="T1882" i="5"/>
  <c r="S1882" i="5"/>
  <c r="R1885" i="5"/>
  <c r="S1895" i="5"/>
  <c r="AB1901" i="5"/>
  <c r="AB1906" i="5"/>
  <c r="S1906" i="5"/>
  <c r="AB1935" i="5"/>
  <c r="S1935" i="5"/>
  <c r="R1977" i="5"/>
  <c r="R1997" i="5"/>
  <c r="R1925" i="5"/>
  <c r="R1965" i="5"/>
  <c r="T1978" i="5"/>
  <c r="S1978" i="5"/>
  <c r="S1832" i="5"/>
  <c r="AB1843" i="5"/>
  <c r="AB1885" i="5"/>
  <c r="R1889" i="5"/>
  <c r="T1903" i="5"/>
  <c r="R1905" i="5"/>
  <c r="AB1919" i="5"/>
  <c r="T1923" i="5"/>
  <c r="AB1932" i="5"/>
  <c r="X1936" i="5"/>
  <c r="AB1939" i="5"/>
  <c r="T1943" i="5"/>
  <c r="T1963" i="5"/>
  <c r="AB1964" i="5"/>
  <c r="T1970" i="5"/>
  <c r="AB1983" i="5"/>
  <c r="S1983" i="5"/>
  <c r="AB1994" i="5"/>
  <c r="T1994" i="5"/>
  <c r="AB1998" i="5"/>
  <c r="S1998" i="5"/>
  <c r="AB2052" i="5"/>
  <c r="T2081" i="5"/>
  <c r="AB2081" i="5"/>
  <c r="T2088" i="5"/>
  <c r="S2088" i="5"/>
  <c r="T2096" i="5"/>
  <c r="S2096" i="5"/>
  <c r="T2101" i="5"/>
  <c r="AB2101" i="5"/>
  <c r="R2122" i="5"/>
  <c r="T2242" i="5"/>
  <c r="S2242" i="5"/>
  <c r="AB1833" i="5"/>
  <c r="S1851" i="5"/>
  <c r="AB1879" i="5"/>
  <c r="AB1891" i="5"/>
  <c r="R1937" i="5"/>
  <c r="AB1962" i="5"/>
  <c r="AB1971" i="5"/>
  <c r="T1980" i="5"/>
  <c r="AB1980" i="5"/>
  <c r="AB1991" i="5"/>
  <c r="T1991" i="5"/>
  <c r="R2025" i="5"/>
  <c r="T2040" i="5"/>
  <c r="AB2040" i="5"/>
  <c r="AB2091" i="5"/>
  <c r="T2091" i="5"/>
  <c r="AB2096" i="5"/>
  <c r="AB2106" i="5"/>
  <c r="AB2111" i="5"/>
  <c r="S2111" i="5"/>
  <c r="R1973" i="5"/>
  <c r="R2017" i="5"/>
  <c r="T2050" i="5"/>
  <c r="S2050" i="5"/>
  <c r="T2164" i="5"/>
  <c r="S2164" i="5"/>
  <c r="AB1893" i="5"/>
  <c r="AB1955" i="5"/>
  <c r="AB1979" i="5"/>
  <c r="T1979" i="5"/>
  <c r="T1988" i="5"/>
  <c r="AB1988" i="5"/>
  <c r="R1993" i="5"/>
  <c r="AB1995" i="5"/>
  <c r="T1995" i="5"/>
  <c r="S1995" i="5"/>
  <c r="T2002" i="5"/>
  <c r="S2002" i="5"/>
  <c r="AB2023" i="5"/>
  <c r="T2023" i="5"/>
  <c r="S2023" i="5"/>
  <c r="R2045" i="5"/>
  <c r="T2234" i="5"/>
  <c r="S2234" i="5"/>
  <c r="T1833" i="5"/>
  <c r="AB1842" i="5"/>
  <c r="S1879" i="5"/>
  <c r="AB1887" i="5"/>
  <c r="AB1888" i="5"/>
  <c r="T1891" i="5"/>
  <c r="AB1899" i="5"/>
  <c r="AB1904" i="5"/>
  <c r="S1951" i="5"/>
  <c r="AB1952" i="5"/>
  <c r="S1955" i="5"/>
  <c r="AB1956" i="5"/>
  <c r="T1962" i="5"/>
  <c r="S1966" i="5"/>
  <c r="S1971" i="5"/>
  <c r="T1986" i="5"/>
  <c r="S1991" i="5"/>
  <c r="AB2000" i="5"/>
  <c r="R2016" i="5"/>
  <c r="T2032" i="5"/>
  <c r="AB2032" i="5"/>
  <c r="AB2064" i="5"/>
  <c r="AB2072" i="5"/>
  <c r="S2078" i="5"/>
  <c r="T2092" i="5"/>
  <c r="S2092" i="5"/>
  <c r="S2121" i="5"/>
  <c r="AB2121" i="5"/>
  <c r="S2177" i="5"/>
  <c r="T2177" i="5"/>
  <c r="AB2177" i="5"/>
  <c r="R2308" i="5"/>
  <c r="S1875" i="5"/>
  <c r="AB1877" i="5"/>
  <c r="S1915" i="5"/>
  <c r="S1934" i="5"/>
  <c r="AB1944" i="5"/>
  <c r="T1966" i="5"/>
  <c r="T1974" i="5"/>
  <c r="R1989" i="5"/>
  <c r="T1992" i="5"/>
  <c r="AB1992" i="5"/>
  <c r="AB2003" i="5"/>
  <c r="S2003" i="5"/>
  <c r="S2007" i="5"/>
  <c r="AB2027" i="5"/>
  <c r="S2027" i="5"/>
  <c r="S2030" i="5"/>
  <c r="S2042" i="5"/>
  <c r="AB2078" i="5"/>
  <c r="AB2084" i="5"/>
  <c r="AB2095" i="5"/>
  <c r="T2095" i="5"/>
  <c r="AB2100" i="5"/>
  <c r="R2130" i="5"/>
  <c r="AB2151" i="5"/>
  <c r="S2151" i="5"/>
  <c r="T2151" i="5"/>
  <c r="AB2165" i="5"/>
  <c r="S2244" i="5"/>
  <c r="AB2244" i="5"/>
  <c r="T2244" i="5"/>
  <c r="X2264" i="5"/>
  <c r="AB1834" i="5"/>
  <c r="AB1838" i="5"/>
  <c r="AB1856" i="5"/>
  <c r="T1875" i="5"/>
  <c r="AB1883" i="5"/>
  <c r="AB1911" i="5"/>
  <c r="T1915" i="5"/>
  <c r="T1934" i="5"/>
  <c r="T1939" i="5"/>
  <c r="S1947" i="5"/>
  <c r="AB1948" i="5"/>
  <c r="AB1954" i="5"/>
  <c r="AB1958" i="5"/>
  <c r="S1959" i="5"/>
  <c r="AB1967" i="5"/>
  <c r="AB1975" i="5"/>
  <c r="S1975" i="5"/>
  <c r="AB1990" i="5"/>
  <c r="S1990" i="5"/>
  <c r="T1996" i="5"/>
  <c r="AB1996" i="5"/>
  <c r="S1999" i="5"/>
  <c r="T2007" i="5"/>
  <c r="T2030" i="5"/>
  <c r="AB2043" i="5"/>
  <c r="T2043" i="5"/>
  <c r="T2080" i="5"/>
  <c r="R2087" i="5"/>
  <c r="X2087" i="5"/>
  <c r="R2092" i="5"/>
  <c r="R2118" i="5"/>
  <c r="AB2154" i="5"/>
  <c r="S2169" i="5"/>
  <c r="T2169" i="5"/>
  <c r="T2238" i="5"/>
  <c r="S2238" i="5"/>
  <c r="T1987" i="5"/>
  <c r="AB2011" i="5"/>
  <c r="AB2018" i="5"/>
  <c r="T2031" i="5"/>
  <c r="AB2039" i="5"/>
  <c r="AB2062" i="5"/>
  <c r="AB2080" i="5"/>
  <c r="AB2104" i="5"/>
  <c r="AB2105" i="5"/>
  <c r="AB2108" i="5"/>
  <c r="AB2110" i="5"/>
  <c r="T2112" i="5"/>
  <c r="AB2129" i="5"/>
  <c r="AB2160" i="5"/>
  <c r="T2160" i="5"/>
  <c r="S2160" i="5"/>
  <c r="R2126" i="5"/>
  <c r="AB2156" i="5"/>
  <c r="T2156" i="5"/>
  <c r="S2156" i="5"/>
  <c r="R2229" i="5"/>
  <c r="X2256" i="5"/>
  <c r="AB2116" i="5"/>
  <c r="S2124" i="5"/>
  <c r="X2132" i="5"/>
  <c r="R2241" i="5"/>
  <c r="T2281" i="5"/>
  <c r="S2281" i="5"/>
  <c r="R2353" i="5"/>
  <c r="AB2448" i="5"/>
  <c r="T2448" i="5"/>
  <c r="S2448" i="5"/>
  <c r="X2452" i="5"/>
  <c r="R2452" i="5"/>
  <c r="S2011" i="5"/>
  <c r="AB2019" i="5"/>
  <c r="AB2024" i="5"/>
  <c r="AB2047" i="5"/>
  <c r="AB2087" i="5"/>
  <c r="AB2099" i="5"/>
  <c r="T2109" i="5"/>
  <c r="AB2109" i="5"/>
  <c r="S2125" i="5"/>
  <c r="T2125" i="5"/>
  <c r="S2165" i="5"/>
  <c r="T2165" i="5"/>
  <c r="T2346" i="5"/>
  <c r="S2346" i="5"/>
  <c r="AB2346" i="5"/>
  <c r="AB2026" i="5"/>
  <c r="AB2035" i="5"/>
  <c r="AB2055" i="5"/>
  <c r="AB2070" i="5"/>
  <c r="AB2076" i="5"/>
  <c r="T2117" i="5"/>
  <c r="AB2117" i="5"/>
  <c r="S2153" i="5"/>
  <c r="AB2153" i="5"/>
  <c r="R2162" i="5"/>
  <c r="AB2204" i="5"/>
  <c r="T2204" i="5"/>
  <c r="T2228" i="5"/>
  <c r="S2228" i="5"/>
  <c r="X2260" i="5"/>
  <c r="AB2272" i="5"/>
  <c r="T2272" i="5"/>
  <c r="S2272" i="5"/>
  <c r="AB2279" i="5"/>
  <c r="S2279" i="5"/>
  <c r="AB2237" i="5"/>
  <c r="AB2241" i="5"/>
  <c r="T2260" i="5"/>
  <c r="T2264" i="5"/>
  <c r="AB2287" i="5"/>
  <c r="AB2301" i="5"/>
  <c r="AB2305" i="5"/>
  <c r="AB2309" i="5"/>
  <c r="T2314" i="5"/>
  <c r="AB2314" i="5"/>
  <c r="T2328" i="5"/>
  <c r="R2393" i="5"/>
  <c r="T2477" i="5"/>
  <c r="AB2477" i="5"/>
  <c r="T2491" i="5"/>
  <c r="S2491" i="5"/>
  <c r="AB2128" i="5"/>
  <c r="AB2130" i="5"/>
  <c r="AB2133" i="5"/>
  <c r="AB2187" i="5"/>
  <c r="S2194" i="5"/>
  <c r="S2202" i="5"/>
  <c r="S2210" i="5"/>
  <c r="R2221" i="5"/>
  <c r="AB2260" i="5"/>
  <c r="R2261" i="5"/>
  <c r="AB2264" i="5"/>
  <c r="R2273" i="5"/>
  <c r="T2294" i="5"/>
  <c r="AB2294" i="5"/>
  <c r="T2307" i="5"/>
  <c r="S2307" i="5"/>
  <c r="T2338" i="5"/>
  <c r="AB2338" i="5"/>
  <c r="R2477" i="5"/>
  <c r="X2488" i="5"/>
  <c r="AB2189" i="5"/>
  <c r="T2194" i="5"/>
  <c r="T2202" i="5"/>
  <c r="T2210" i="5"/>
  <c r="AB2218" i="5"/>
  <c r="R2351" i="5"/>
  <c r="R2355" i="5"/>
  <c r="AB2438" i="5"/>
  <c r="S2438" i="5"/>
  <c r="T2438" i="5"/>
  <c r="R2443" i="5"/>
  <c r="X2492" i="5"/>
  <c r="AB2137" i="5"/>
  <c r="S2180" i="5"/>
  <c r="S2183" i="5"/>
  <c r="S2187" i="5"/>
  <c r="AB2221" i="5"/>
  <c r="S2226" i="5"/>
  <c r="T2240" i="5"/>
  <c r="AB2248" i="5"/>
  <c r="AB2257" i="5"/>
  <c r="AB2261" i="5"/>
  <c r="AB2265" i="5"/>
  <c r="AB2275" i="5"/>
  <c r="T2288" i="5"/>
  <c r="T2302" i="5"/>
  <c r="AB2302" i="5"/>
  <c r="AB2307" i="5"/>
  <c r="X2346" i="5"/>
  <c r="AB2112" i="5"/>
  <c r="T2161" i="5"/>
  <c r="T2173" i="5"/>
  <c r="T2181" i="5"/>
  <c r="AB2185" i="5"/>
  <c r="T2187" i="5"/>
  <c r="AB2197" i="5"/>
  <c r="AB2200" i="5"/>
  <c r="AB2213" i="5"/>
  <c r="AB2216" i="5"/>
  <c r="AB2253" i="5"/>
  <c r="S2270" i="5"/>
  <c r="AB2277" i="5"/>
  <c r="AB2293" i="5"/>
  <c r="S2296" i="5"/>
  <c r="T2315" i="5"/>
  <c r="S2315" i="5"/>
  <c r="S2322" i="5"/>
  <c r="AB2345" i="5"/>
  <c r="T2345" i="5"/>
  <c r="R2359" i="5"/>
  <c r="R2385" i="5"/>
  <c r="R2441" i="5"/>
  <c r="X2451" i="5"/>
  <c r="R2461" i="5"/>
  <c r="AB2127" i="5"/>
  <c r="S2128" i="5"/>
  <c r="T2145" i="5"/>
  <c r="T2149" i="5"/>
  <c r="S2152" i="5"/>
  <c r="AB2184" i="5"/>
  <c r="AB2188" i="5"/>
  <c r="AB2192" i="5"/>
  <c r="AB2205" i="5"/>
  <c r="AB2208" i="5"/>
  <c r="R2232" i="5"/>
  <c r="AB2240" i="5"/>
  <c r="AB2249" i="5"/>
  <c r="AB2274" i="5"/>
  <c r="S2280" i="5"/>
  <c r="S2283" i="5"/>
  <c r="AB2288" i="5"/>
  <c r="S2294" i="5"/>
  <c r="S2300" i="5"/>
  <c r="T2306" i="5"/>
  <c r="AB2306" i="5"/>
  <c r="S2309" i="5"/>
  <c r="S2313" i="5"/>
  <c r="AB2322" i="5"/>
  <c r="AB2326" i="5"/>
  <c r="S2338" i="5"/>
  <c r="R2367" i="5"/>
  <c r="X2367" i="5"/>
  <c r="R2375" i="5"/>
  <c r="X2375" i="5"/>
  <c r="T2410" i="5"/>
  <c r="AB2410" i="5"/>
  <c r="AB2161" i="5"/>
  <c r="AB2180" i="5"/>
  <c r="AB2181" i="5"/>
  <c r="AB2212" i="5"/>
  <c r="AB2245" i="5"/>
  <c r="AB2268" i="5"/>
  <c r="T2283" i="5"/>
  <c r="AB2313" i="5"/>
  <c r="AB2316" i="5"/>
  <c r="T2316" i="5"/>
  <c r="S2345" i="5"/>
  <c r="S2381" i="5"/>
  <c r="T2381" i="5"/>
  <c r="T2424" i="5"/>
  <c r="S2424" i="5"/>
  <c r="AB2442" i="5"/>
  <c r="T2442" i="5"/>
  <c r="S2442" i="5"/>
  <c r="T2452" i="5"/>
  <c r="AB2452" i="5"/>
  <c r="T2351" i="5"/>
  <c r="T2385" i="5"/>
  <c r="AB2461" i="5"/>
  <c r="AB2492" i="5"/>
  <c r="R2494" i="5"/>
  <c r="AB2484" i="5"/>
  <c r="AB2489" i="5"/>
  <c r="AB2296" i="5"/>
  <c r="R2330" i="5"/>
  <c r="R2334" i="5"/>
  <c r="AB2342" i="5"/>
  <c r="S2349" i="5"/>
  <c r="AB2360" i="5"/>
  <c r="AB2368" i="5"/>
  <c r="AB2376" i="5"/>
  <c r="AB2385" i="5"/>
  <c r="T2389" i="5"/>
  <c r="T2393" i="5"/>
  <c r="AB2397" i="5"/>
  <c r="S2400" i="5"/>
  <c r="R2409" i="5"/>
  <c r="T2413" i="5"/>
  <c r="AB2426" i="5"/>
  <c r="AB2445" i="5"/>
  <c r="T2449" i="5"/>
  <c r="AB2454" i="5"/>
  <c r="T2465" i="5"/>
  <c r="AB2469" i="5"/>
  <c r="AB2483" i="5"/>
  <c r="AB2330" i="5"/>
  <c r="AB2334" i="5"/>
  <c r="AB2339" i="5"/>
  <c r="T2349" i="5"/>
  <c r="AB2357" i="5"/>
  <c r="R2364" i="5"/>
  <c r="R2372" i="5"/>
  <c r="R2380" i="5"/>
  <c r="S2395" i="5"/>
  <c r="AB2430" i="5"/>
  <c r="S2439" i="5"/>
  <c r="AB2446" i="5"/>
  <c r="T2473" i="5"/>
  <c r="AB2300" i="5"/>
  <c r="AB2308" i="5"/>
  <c r="AB2318" i="5"/>
  <c r="S2339" i="5"/>
  <c r="S2350" i="5"/>
  <c r="AB2398" i="5"/>
  <c r="AB2403" i="5"/>
  <c r="T2425" i="5"/>
  <c r="S2446" i="5"/>
  <c r="AB2451" i="5"/>
  <c r="T2457" i="5"/>
  <c r="AB2462" i="5"/>
  <c r="AB2464" i="5"/>
  <c r="AB2471" i="5"/>
  <c r="AB2473" i="5"/>
  <c r="S2474" i="5"/>
  <c r="AB2386" i="5"/>
  <c r="T2436" i="5"/>
  <c r="S2472" i="5"/>
  <c r="AB2488" i="5"/>
  <c r="AB2350" i="5"/>
  <c r="AB2354" i="5"/>
  <c r="X2364" i="5"/>
  <c r="X2372" i="5"/>
  <c r="X2380" i="5"/>
  <c r="AB2387" i="5"/>
  <c r="AB2396" i="5"/>
  <c r="T2401" i="5"/>
  <c r="S2403" i="5"/>
  <c r="AB2414" i="5"/>
  <c r="AB2425" i="5"/>
  <c r="AB2436" i="5"/>
  <c r="S2456" i="5"/>
  <c r="AB2457" i="5"/>
  <c r="S2458" i="5"/>
  <c r="S2471" i="5"/>
  <c r="AB2472" i="5"/>
  <c r="T2484" i="5"/>
  <c r="AB2504" i="5"/>
  <c r="X304" i="5"/>
  <c r="AB23" i="5"/>
  <c r="X28" i="5"/>
  <c r="AB115" i="5"/>
  <c r="R146" i="5"/>
  <c r="AB179" i="5"/>
  <c r="AB201" i="5"/>
  <c r="R234" i="5"/>
  <c r="X254" i="5"/>
  <c r="R254" i="5"/>
  <c r="R286" i="5"/>
  <c r="AB320" i="5"/>
  <c r="AB412" i="5"/>
  <c r="AB105" i="5"/>
  <c r="R114" i="5"/>
  <c r="AB137" i="5"/>
  <c r="AB147" i="5"/>
  <c r="AB169" i="5"/>
  <c r="R178" i="5"/>
  <c r="AB240" i="5"/>
  <c r="R270" i="5"/>
  <c r="R311" i="5"/>
  <c r="R5" i="5"/>
  <c r="AB20" i="5"/>
  <c r="R21" i="5"/>
  <c r="AB28" i="5"/>
  <c r="R29" i="5"/>
  <c r="AB34" i="5"/>
  <c r="AB38" i="5"/>
  <c r="AB42" i="5"/>
  <c r="AB46" i="5"/>
  <c r="AB50" i="5"/>
  <c r="AB54" i="5"/>
  <c r="AB58" i="5"/>
  <c r="AB62" i="5"/>
  <c r="AB66" i="5"/>
  <c r="AB70" i="5"/>
  <c r="AB74" i="5"/>
  <c r="AB78" i="5"/>
  <c r="AB82" i="5"/>
  <c r="AB86" i="5"/>
  <c r="AB90" i="5"/>
  <c r="AB94" i="5"/>
  <c r="AB98" i="5"/>
  <c r="AB104" i="5"/>
  <c r="AB117" i="5"/>
  <c r="R126" i="5"/>
  <c r="AB127" i="5"/>
  <c r="AB136" i="5"/>
  <c r="AB149" i="5"/>
  <c r="R158" i="5"/>
  <c r="AB159" i="5"/>
  <c r="AB168" i="5"/>
  <c r="X178" i="5"/>
  <c r="AB181" i="5"/>
  <c r="R190" i="5"/>
  <c r="AB191" i="5"/>
  <c r="AB200" i="5"/>
  <c r="R218" i="5"/>
  <c r="AB220" i="5"/>
  <c r="R238" i="5"/>
  <c r="AB244" i="5"/>
  <c r="AB260" i="5"/>
  <c r="AB276" i="5"/>
  <c r="AB292" i="5"/>
  <c r="AB5" i="5"/>
  <c r="AB21" i="5"/>
  <c r="AB29" i="5"/>
  <c r="AB35" i="5"/>
  <c r="AB39" i="5"/>
  <c r="AB43" i="5"/>
  <c r="AB47" i="5"/>
  <c r="AB51" i="5"/>
  <c r="AB55" i="5"/>
  <c r="AB59" i="5"/>
  <c r="AB63" i="5"/>
  <c r="AB67" i="5"/>
  <c r="AB71" i="5"/>
  <c r="AB75" i="5"/>
  <c r="AB79" i="5"/>
  <c r="AB83" i="5"/>
  <c r="AB87" i="5"/>
  <c r="AB91" i="5"/>
  <c r="AB95" i="5"/>
  <c r="AB99" i="5"/>
  <c r="R106" i="5"/>
  <c r="AB107" i="5"/>
  <c r="AB116" i="5"/>
  <c r="AB129" i="5"/>
  <c r="R138" i="5"/>
  <c r="AB139" i="5"/>
  <c r="AB148" i="5"/>
  <c r="AB161" i="5"/>
  <c r="R170" i="5"/>
  <c r="AB171" i="5"/>
  <c r="AB180" i="5"/>
  <c r="AB193" i="5"/>
  <c r="R202" i="5"/>
  <c r="AB203" i="5"/>
  <c r="AB209" i="5"/>
  <c r="R210" i="5"/>
  <c r="R221" i="5"/>
  <c r="R242" i="5"/>
  <c r="R258" i="5"/>
  <c r="X274" i="5"/>
  <c r="R274" i="5"/>
  <c r="R323" i="5"/>
  <c r="AB360" i="5"/>
  <c r="R371" i="5"/>
  <c r="R383" i="5"/>
  <c r="T383" i="5"/>
  <c r="AB119" i="5"/>
  <c r="AB151" i="5"/>
  <c r="AB173" i="5"/>
  <c r="R182" i="5"/>
  <c r="AB183" i="5"/>
  <c r="AB205" i="5"/>
  <c r="AB212" i="5"/>
  <c r="AB248" i="5"/>
  <c r="AB264" i="5"/>
  <c r="AB280" i="5"/>
  <c r="AB296" i="5"/>
  <c r="R319" i="5"/>
  <c r="AB328" i="5"/>
  <c r="X351" i="5"/>
  <c r="R351" i="5"/>
  <c r="AB358" i="5"/>
  <c r="R118" i="5"/>
  <c r="X5" i="5"/>
  <c r="AB121" i="5"/>
  <c r="R130" i="5"/>
  <c r="T130" i="5"/>
  <c r="AB131" i="5"/>
  <c r="AB153" i="5"/>
  <c r="R162" i="5"/>
  <c r="AB163" i="5"/>
  <c r="AB185" i="5"/>
  <c r="AB195" i="5"/>
  <c r="R206" i="5"/>
  <c r="R213" i="5"/>
  <c r="R222" i="5"/>
  <c r="AB224" i="5"/>
  <c r="R246" i="5"/>
  <c r="R278" i="5"/>
  <c r="R294" i="5"/>
  <c r="R307" i="5"/>
  <c r="X307" i="5"/>
  <c r="AB408" i="5"/>
  <c r="AB109" i="5"/>
  <c r="AB141" i="5"/>
  <c r="R150" i="5"/>
  <c r="AB19" i="5"/>
  <c r="AB27" i="5"/>
  <c r="X24" i="5"/>
  <c r="R28" i="5"/>
  <c r="X32" i="5"/>
  <c r="AB36" i="5"/>
  <c r="AB40" i="5"/>
  <c r="AB44" i="5"/>
  <c r="AB48" i="5"/>
  <c r="AB52" i="5"/>
  <c r="AB56" i="5"/>
  <c r="AB60" i="5"/>
  <c r="AB64" i="5"/>
  <c r="AB68" i="5"/>
  <c r="AB72" i="5"/>
  <c r="AB76" i="5"/>
  <c r="AB80" i="5"/>
  <c r="AB84" i="5"/>
  <c r="AB88" i="5"/>
  <c r="AB92" i="5"/>
  <c r="AB96" i="5"/>
  <c r="AB100" i="5"/>
  <c r="AB101" i="5"/>
  <c r="R110" i="5"/>
  <c r="AB111" i="5"/>
  <c r="AB120" i="5"/>
  <c r="AB133" i="5"/>
  <c r="R142" i="5"/>
  <c r="AB143" i="5"/>
  <c r="AB152" i="5"/>
  <c r="AB165" i="5"/>
  <c r="R174" i="5"/>
  <c r="AB175" i="5"/>
  <c r="AB184" i="5"/>
  <c r="AB197" i="5"/>
  <c r="AB208" i="5"/>
  <c r="AB228" i="5"/>
  <c r="AB252" i="5"/>
  <c r="AB268" i="5"/>
  <c r="AB284" i="5"/>
  <c r="AB300" i="5"/>
  <c r="AB303" i="5"/>
  <c r="AB312" i="5"/>
  <c r="R331" i="5"/>
  <c r="X384" i="5"/>
  <c r="R384" i="5"/>
  <c r="AB402" i="5"/>
  <c r="AB31" i="5"/>
  <c r="AB25" i="5"/>
  <c r="AB37" i="5"/>
  <c r="AB45" i="5"/>
  <c r="AB53" i="5"/>
  <c r="AB57" i="5"/>
  <c r="AB61" i="5"/>
  <c r="AB65" i="5"/>
  <c r="AB69" i="5"/>
  <c r="AB73" i="5"/>
  <c r="AB81" i="5"/>
  <c r="AB89" i="5"/>
  <c r="AB113" i="5"/>
  <c r="R117" i="5"/>
  <c r="AB123" i="5"/>
  <c r="AB145" i="5"/>
  <c r="R149" i="5"/>
  <c r="R154" i="5"/>
  <c r="AB155" i="5"/>
  <c r="AB177" i="5"/>
  <c r="R181" i="5"/>
  <c r="R186" i="5"/>
  <c r="AB187" i="5"/>
  <c r="R209" i="5"/>
  <c r="R214" i="5"/>
  <c r="AB216" i="5"/>
  <c r="R226" i="5"/>
  <c r="AB232" i="5"/>
  <c r="R250" i="5"/>
  <c r="X266" i="5"/>
  <c r="R266" i="5"/>
  <c r="R282" i="5"/>
  <c r="R298" i="5"/>
  <c r="R327" i="5"/>
  <c r="X352" i="5"/>
  <c r="R352" i="5"/>
  <c r="AB361" i="5"/>
  <c r="R470" i="5"/>
  <c r="R494" i="5"/>
  <c r="AB33" i="5"/>
  <c r="AB41" i="5"/>
  <c r="AB49" i="5"/>
  <c r="T72" i="5"/>
  <c r="AB77" i="5"/>
  <c r="AB85" i="5"/>
  <c r="AB93" i="5"/>
  <c r="AB97" i="5"/>
  <c r="R122" i="5"/>
  <c r="R18" i="5"/>
  <c r="R23" i="5"/>
  <c r="R26" i="5"/>
  <c r="R31" i="5"/>
  <c r="X36" i="5"/>
  <c r="X40" i="5"/>
  <c r="X52" i="5"/>
  <c r="X56" i="5"/>
  <c r="X60" i="5"/>
  <c r="X64" i="5"/>
  <c r="X68" i="5"/>
  <c r="X72" i="5"/>
  <c r="X80" i="5"/>
  <c r="X84" i="5"/>
  <c r="X88" i="5"/>
  <c r="R102" i="5"/>
  <c r="AB103" i="5"/>
  <c r="AB112" i="5"/>
  <c r="AB125" i="5"/>
  <c r="R129" i="5"/>
  <c r="R134" i="5"/>
  <c r="AB135" i="5"/>
  <c r="AB144" i="5"/>
  <c r="AB157" i="5"/>
  <c r="R161" i="5"/>
  <c r="R166" i="5"/>
  <c r="AB167" i="5"/>
  <c r="AB176" i="5"/>
  <c r="AB189" i="5"/>
  <c r="R193" i="5"/>
  <c r="R198" i="5"/>
  <c r="AB199" i="5"/>
  <c r="R217" i="5"/>
  <c r="R230" i="5"/>
  <c r="AB236" i="5"/>
  <c r="AB256" i="5"/>
  <c r="AB272" i="5"/>
  <c r="AB288" i="5"/>
  <c r="R315" i="5"/>
  <c r="T315" i="5"/>
  <c r="R335" i="5"/>
  <c r="X332" i="5"/>
  <c r="AB336" i="5"/>
  <c r="X343" i="5"/>
  <c r="R343" i="5"/>
  <c r="X344" i="5"/>
  <c r="AB350" i="5"/>
  <c r="AB373" i="5"/>
  <c r="AB382" i="5"/>
  <c r="AB385" i="5"/>
  <c r="R471" i="5"/>
  <c r="R499" i="5"/>
  <c r="X499" i="5"/>
  <c r="R531" i="5"/>
  <c r="AB213" i="5"/>
  <c r="AB217" i="5"/>
  <c r="AB221" i="5"/>
  <c r="AB225" i="5"/>
  <c r="AB229" i="5"/>
  <c r="AB233" i="5"/>
  <c r="AB237" i="5"/>
  <c r="AB241" i="5"/>
  <c r="AB245" i="5"/>
  <c r="AB249" i="5"/>
  <c r="AB253" i="5"/>
  <c r="AB257" i="5"/>
  <c r="AB261" i="5"/>
  <c r="AB265" i="5"/>
  <c r="AB269" i="5"/>
  <c r="AB273" i="5"/>
  <c r="AB277" i="5"/>
  <c r="AB281" i="5"/>
  <c r="AB285" i="5"/>
  <c r="AB289" i="5"/>
  <c r="AB293" i="5"/>
  <c r="AB297" i="5"/>
  <c r="AB301" i="5"/>
  <c r="R302" i="5"/>
  <c r="R304" i="5"/>
  <c r="AB310" i="5"/>
  <c r="AB318" i="5"/>
  <c r="AB326" i="5"/>
  <c r="AB332" i="5"/>
  <c r="AB343" i="5"/>
  <c r="AB353" i="5"/>
  <c r="AB362" i="5"/>
  <c r="AB375" i="5"/>
  <c r="AB389" i="5"/>
  <c r="R459" i="5"/>
  <c r="X459" i="5"/>
  <c r="AB305" i="5"/>
  <c r="AB313" i="5"/>
  <c r="AB321" i="5"/>
  <c r="AB329" i="5"/>
  <c r="AB342" i="5"/>
  <c r="X368" i="5"/>
  <c r="AB374" i="5"/>
  <c r="AB386" i="5"/>
  <c r="AB393" i="5"/>
  <c r="R399" i="5"/>
  <c r="X464" i="5"/>
  <c r="R464" i="5"/>
  <c r="R478" i="5"/>
  <c r="AB333" i="5"/>
  <c r="AB345" i="5"/>
  <c r="R347" i="5"/>
  <c r="X348" i="5"/>
  <c r="AB354" i="5"/>
  <c r="AB367" i="5"/>
  <c r="AB377" i="5"/>
  <c r="X379" i="5"/>
  <c r="X380" i="5"/>
  <c r="AB390" i="5"/>
  <c r="AB397" i="5"/>
  <c r="R483" i="5"/>
  <c r="X510" i="5"/>
  <c r="R510" i="5"/>
  <c r="R542" i="5"/>
  <c r="R338" i="5"/>
  <c r="AB338" i="5"/>
  <c r="AB366" i="5"/>
  <c r="AB394" i="5"/>
  <c r="AB401" i="5"/>
  <c r="AB416" i="5"/>
  <c r="R515" i="5"/>
  <c r="R310" i="5"/>
  <c r="R318" i="5"/>
  <c r="R326" i="5"/>
  <c r="AB334" i="5"/>
  <c r="AB339" i="5"/>
  <c r="AB346" i="5"/>
  <c r="AB359" i="5"/>
  <c r="AB369" i="5"/>
  <c r="X372" i="5"/>
  <c r="AB378" i="5"/>
  <c r="AB398" i="5"/>
  <c r="AB405" i="5"/>
  <c r="AB409" i="5"/>
  <c r="R344" i="5"/>
  <c r="AB351" i="5"/>
  <c r="AB352" i="5"/>
  <c r="R363" i="5"/>
  <c r="X364" i="5"/>
  <c r="AB370" i="5"/>
  <c r="R387" i="5"/>
  <c r="AB406" i="5"/>
  <c r="R526" i="5"/>
  <c r="AB466" i="5"/>
  <c r="AB474" i="5"/>
  <c r="X487" i="5"/>
  <c r="R547" i="5"/>
  <c r="AB553" i="5"/>
  <c r="AB572" i="5"/>
  <c r="AB582" i="5"/>
  <c r="AB585" i="5"/>
  <c r="AB596" i="5"/>
  <c r="AB597" i="5"/>
  <c r="R706" i="5"/>
  <c r="AB478" i="5"/>
  <c r="AB483" i="5"/>
  <c r="X484" i="5"/>
  <c r="AB494" i="5"/>
  <c r="AB499" i="5"/>
  <c r="X500" i="5"/>
  <c r="AB510" i="5"/>
  <c r="AB515" i="5"/>
  <c r="X516" i="5"/>
  <c r="AB526" i="5"/>
  <c r="AB531" i="5"/>
  <c r="X532" i="5"/>
  <c r="AB542" i="5"/>
  <c r="AB558" i="5"/>
  <c r="R559" i="5"/>
  <c r="AB570" i="5"/>
  <c r="AB573" i="5"/>
  <c r="R479" i="5"/>
  <c r="R495" i="5"/>
  <c r="R511" i="5"/>
  <c r="R527" i="5"/>
  <c r="R543" i="5"/>
  <c r="AB580" i="5"/>
  <c r="R443" i="5"/>
  <c r="R451" i="5"/>
  <c r="R455" i="5"/>
  <c r="AB479" i="5"/>
  <c r="X480" i="5"/>
  <c r="AB484" i="5"/>
  <c r="AB490" i="5"/>
  <c r="AB495" i="5"/>
  <c r="AB500" i="5"/>
  <c r="AB506" i="5"/>
  <c r="AB511" i="5"/>
  <c r="X512" i="5"/>
  <c r="AB516" i="5"/>
  <c r="AB522" i="5"/>
  <c r="AB527" i="5"/>
  <c r="X528" i="5"/>
  <c r="AB532" i="5"/>
  <c r="AB538" i="5"/>
  <c r="AB543" i="5"/>
  <c r="X544" i="5"/>
  <c r="AB548" i="5"/>
  <c r="AB550" i="5"/>
  <c r="R551" i="5"/>
  <c r="AB557" i="5"/>
  <c r="AB568" i="5"/>
  <c r="AB578" i="5"/>
  <c r="AB581" i="5"/>
  <c r="R682" i="5"/>
  <c r="R491" i="5"/>
  <c r="R507" i="5"/>
  <c r="R523" i="5"/>
  <c r="R539" i="5"/>
  <c r="AB562" i="5"/>
  <c r="R563" i="5"/>
  <c r="AB566" i="5"/>
  <c r="AB569" i="5"/>
  <c r="AB588" i="5"/>
  <c r="R686" i="5"/>
  <c r="AB464" i="5"/>
  <c r="AB475" i="5"/>
  <c r="X476" i="5"/>
  <c r="AB480" i="5"/>
  <c r="AB486" i="5"/>
  <c r="AB491" i="5"/>
  <c r="X492" i="5"/>
  <c r="AB496" i="5"/>
  <c r="AB502" i="5"/>
  <c r="AB507" i="5"/>
  <c r="X508" i="5"/>
  <c r="AB512" i="5"/>
  <c r="AB518" i="5"/>
  <c r="AB523" i="5"/>
  <c r="AB528" i="5"/>
  <c r="AB534" i="5"/>
  <c r="AB539" i="5"/>
  <c r="X540" i="5"/>
  <c r="AB544" i="5"/>
  <c r="AB549" i="5"/>
  <c r="AB576" i="5"/>
  <c r="AB586" i="5"/>
  <c r="AB589" i="5"/>
  <c r="R690" i="5"/>
  <c r="R468" i="5"/>
  <c r="R487" i="5"/>
  <c r="R503" i="5"/>
  <c r="R519" i="5"/>
  <c r="R535" i="5"/>
  <c r="AB554" i="5"/>
  <c r="R555" i="5"/>
  <c r="AB561" i="5"/>
  <c r="T564" i="5"/>
  <c r="S564" i="5"/>
  <c r="AB564" i="5"/>
  <c r="AB574" i="5"/>
  <c r="AB577" i="5"/>
  <c r="R590" i="5"/>
  <c r="R698" i="5"/>
  <c r="AB465" i="5"/>
  <c r="AB476" i="5"/>
  <c r="AB482" i="5"/>
  <c r="AB487" i="5"/>
  <c r="AB492" i="5"/>
  <c r="AB498" i="5"/>
  <c r="AB503" i="5"/>
  <c r="AB508" i="5"/>
  <c r="AB514" i="5"/>
  <c r="AB519" i="5"/>
  <c r="AB524" i="5"/>
  <c r="AB530" i="5"/>
  <c r="T532" i="5"/>
  <c r="AB535" i="5"/>
  <c r="X536" i="5"/>
  <c r="AB540" i="5"/>
  <c r="AB546" i="5"/>
  <c r="AB565" i="5"/>
  <c r="AB584" i="5"/>
  <c r="AB592" i="5"/>
  <c r="AB593" i="5"/>
  <c r="R594" i="5"/>
  <c r="X594" i="5"/>
  <c r="R702" i="5"/>
  <c r="AB600" i="5"/>
  <c r="AB604" i="5"/>
  <c r="AB608" i="5"/>
  <c r="AB612" i="5"/>
  <c r="S614" i="5"/>
  <c r="AB616" i="5"/>
  <c r="S618" i="5"/>
  <c r="AB620" i="5"/>
  <c r="S622" i="5"/>
  <c r="AB624" i="5"/>
  <c r="S626" i="5"/>
  <c r="AB628" i="5"/>
  <c r="S630" i="5"/>
  <c r="AB632" i="5"/>
  <c r="S634" i="5"/>
  <c r="AB636" i="5"/>
  <c r="S638" i="5"/>
  <c r="AB640" i="5"/>
  <c r="S642" i="5"/>
  <c r="AB644" i="5"/>
  <c r="S646" i="5"/>
  <c r="AB648" i="5"/>
  <c r="S650" i="5"/>
  <c r="AB652" i="5"/>
  <c r="S654" i="5"/>
  <c r="AB656" i="5"/>
  <c r="S658" i="5"/>
  <c r="AB660" i="5"/>
  <c r="S662" i="5"/>
  <c r="AB664" i="5"/>
  <c r="S666" i="5"/>
  <c r="AB668" i="5"/>
  <c r="S670" i="5"/>
  <c r="AB672" i="5"/>
  <c r="S674" i="5"/>
  <c r="AB676" i="5"/>
  <c r="AB691" i="5"/>
  <c r="AB711" i="5"/>
  <c r="S715" i="5"/>
  <c r="R726" i="5"/>
  <c r="AB727" i="5"/>
  <c r="R728" i="5"/>
  <c r="S731" i="5"/>
  <c r="X739" i="5"/>
  <c r="R742" i="5"/>
  <c r="AB743" i="5"/>
  <c r="R744" i="5"/>
  <c r="S747" i="5"/>
  <c r="T757" i="5"/>
  <c r="S757" i="5"/>
  <c r="AB759" i="5"/>
  <c r="T759" i="5"/>
  <c r="X771" i="5"/>
  <c r="X815" i="5"/>
  <c r="R815" i="5"/>
  <c r="R850" i="5"/>
  <c r="X606" i="5"/>
  <c r="T614" i="5"/>
  <c r="X618" i="5"/>
  <c r="T618" i="5"/>
  <c r="T622" i="5"/>
  <c r="T626" i="5"/>
  <c r="X630" i="5"/>
  <c r="T630" i="5"/>
  <c r="T634" i="5"/>
  <c r="X638" i="5"/>
  <c r="T638" i="5"/>
  <c r="T642" i="5"/>
  <c r="X646" i="5"/>
  <c r="T646" i="5"/>
  <c r="T650" i="5"/>
  <c r="T654" i="5"/>
  <c r="T658" i="5"/>
  <c r="T662" i="5"/>
  <c r="T666" i="5"/>
  <c r="T670" i="5"/>
  <c r="T674" i="5"/>
  <c r="AB681" i="5"/>
  <c r="S683" i="5"/>
  <c r="AB686" i="5"/>
  <c r="S693" i="5"/>
  <c r="AB697" i="5"/>
  <c r="S699" i="5"/>
  <c r="AB702" i="5"/>
  <c r="X708" i="5"/>
  <c r="AB713" i="5"/>
  <c r="X724" i="5"/>
  <c r="AB729" i="5"/>
  <c r="X740" i="5"/>
  <c r="AB745" i="5"/>
  <c r="S749" i="5"/>
  <c r="AB769" i="5"/>
  <c r="T769" i="5"/>
  <c r="S769" i="5"/>
  <c r="S775" i="5"/>
  <c r="AB775" i="5"/>
  <c r="T775" i="5"/>
  <c r="AB785" i="5"/>
  <c r="T785" i="5"/>
  <c r="S785" i="5"/>
  <c r="S791" i="5"/>
  <c r="AB791" i="5"/>
  <c r="T791" i="5"/>
  <c r="R803" i="5"/>
  <c r="R827" i="5"/>
  <c r="S661" i="5"/>
  <c r="S665" i="5"/>
  <c r="S669" i="5"/>
  <c r="S673" i="5"/>
  <c r="S677" i="5"/>
  <c r="AB687" i="5"/>
  <c r="AB703" i="5"/>
  <c r="X711" i="5"/>
  <c r="R714" i="5"/>
  <c r="AB715" i="5"/>
  <c r="R716" i="5"/>
  <c r="AB731" i="5"/>
  <c r="R732" i="5"/>
  <c r="X744" i="5"/>
  <c r="AB747" i="5"/>
  <c r="R748" i="5"/>
  <c r="AB682" i="5"/>
  <c r="AB693" i="5"/>
  <c r="AB698" i="5"/>
  <c r="T753" i="5"/>
  <c r="S753" i="5"/>
  <c r="AB755" i="5"/>
  <c r="T755" i="5"/>
  <c r="S763" i="5"/>
  <c r="AB763" i="5"/>
  <c r="T763" i="5"/>
  <c r="AB773" i="5"/>
  <c r="T773" i="5"/>
  <c r="S773" i="5"/>
  <c r="S779" i="5"/>
  <c r="AB779" i="5"/>
  <c r="T779" i="5"/>
  <c r="AB789" i="5"/>
  <c r="T789" i="5"/>
  <c r="S789" i="5"/>
  <c r="R795" i="5"/>
  <c r="S604" i="5"/>
  <c r="S612" i="5"/>
  <c r="S616" i="5"/>
  <c r="S620" i="5"/>
  <c r="S624" i="5"/>
  <c r="S628" i="5"/>
  <c r="S632" i="5"/>
  <c r="S636" i="5"/>
  <c r="S640" i="5"/>
  <c r="S644" i="5"/>
  <c r="S648" i="5"/>
  <c r="S652" i="5"/>
  <c r="S656" i="5"/>
  <c r="S660" i="5"/>
  <c r="S664" i="5"/>
  <c r="S668" i="5"/>
  <c r="S672" i="5"/>
  <c r="S676" i="5"/>
  <c r="AB683" i="5"/>
  <c r="R694" i="5"/>
  <c r="AB699" i="5"/>
  <c r="S707" i="5"/>
  <c r="R709" i="5"/>
  <c r="AB719" i="5"/>
  <c r="S723" i="5"/>
  <c r="R725" i="5"/>
  <c r="R734" i="5"/>
  <c r="AB735" i="5"/>
  <c r="R736" i="5"/>
  <c r="S739" i="5"/>
  <c r="X763" i="5"/>
  <c r="R769" i="5"/>
  <c r="R785" i="5"/>
  <c r="R791" i="5"/>
  <c r="AB801" i="5"/>
  <c r="T801" i="5"/>
  <c r="S801" i="5"/>
  <c r="R805" i="5"/>
  <c r="R834" i="5"/>
  <c r="S685" i="5"/>
  <c r="X688" i="5"/>
  <c r="AB689" i="5"/>
  <c r="S691" i="5"/>
  <c r="AB694" i="5"/>
  <c r="S701" i="5"/>
  <c r="X704" i="5"/>
  <c r="AB705" i="5"/>
  <c r="S709" i="5"/>
  <c r="R711" i="5"/>
  <c r="X716" i="5"/>
  <c r="AB721" i="5"/>
  <c r="S725" i="5"/>
  <c r="R727" i="5"/>
  <c r="X732" i="5"/>
  <c r="AB737" i="5"/>
  <c r="S741" i="5"/>
  <c r="R743" i="5"/>
  <c r="X748" i="5"/>
  <c r="AB751" i="5"/>
  <c r="T751" i="5"/>
  <c r="AB761" i="5"/>
  <c r="T761" i="5"/>
  <c r="S761" i="5"/>
  <c r="S767" i="5"/>
  <c r="AB767" i="5"/>
  <c r="T767" i="5"/>
  <c r="AB777" i="5"/>
  <c r="T777" i="5"/>
  <c r="S777" i="5"/>
  <c r="S783" i="5"/>
  <c r="AB783" i="5"/>
  <c r="T783" i="5"/>
  <c r="AB793" i="5"/>
  <c r="T793" i="5"/>
  <c r="S793" i="5"/>
  <c r="AB797" i="5"/>
  <c r="T797" i="5"/>
  <c r="S797" i="5"/>
  <c r="T598" i="5"/>
  <c r="T606" i="5"/>
  <c r="T610" i="5"/>
  <c r="R681" i="5"/>
  <c r="X691" i="5"/>
  <c r="AB707" i="5"/>
  <c r="R708" i="5"/>
  <c r="R713" i="5"/>
  <c r="X719" i="5"/>
  <c r="R722" i="5"/>
  <c r="AB723" i="5"/>
  <c r="R724" i="5"/>
  <c r="R729" i="5"/>
  <c r="AB739" i="5"/>
  <c r="R740" i="5"/>
  <c r="R745" i="5"/>
  <c r="X806" i="5"/>
  <c r="R806" i="5"/>
  <c r="X842" i="5"/>
  <c r="R842" i="5"/>
  <c r="AB685" i="5"/>
  <c r="AB690" i="5"/>
  <c r="AB701" i="5"/>
  <c r="AB706" i="5"/>
  <c r="S755" i="5"/>
  <c r="R756" i="5"/>
  <c r="AB765" i="5"/>
  <c r="T765" i="5"/>
  <c r="S765" i="5"/>
  <c r="S771" i="5"/>
  <c r="AB771" i="5"/>
  <c r="T771" i="5"/>
  <c r="AB781" i="5"/>
  <c r="T781" i="5"/>
  <c r="S781" i="5"/>
  <c r="S787" i="5"/>
  <c r="AB787" i="5"/>
  <c r="T787" i="5"/>
  <c r="R822" i="5"/>
  <c r="X919" i="5"/>
  <c r="R919" i="5"/>
  <c r="R758" i="5"/>
  <c r="R770" i="5"/>
  <c r="R778" i="5"/>
  <c r="R782" i="5"/>
  <c r="R786" i="5"/>
  <c r="R790" i="5"/>
  <c r="T795" i="5"/>
  <c r="R798" i="5"/>
  <c r="T799" i="5"/>
  <c r="R802" i="5"/>
  <c r="T803" i="5"/>
  <c r="S806" i="5"/>
  <c r="T808" i="5"/>
  <c r="S811" i="5"/>
  <c r="X816" i="5"/>
  <c r="AB830" i="5"/>
  <c r="AB860" i="5"/>
  <c r="AB861" i="5"/>
  <c r="AB864" i="5"/>
  <c r="S877" i="5"/>
  <c r="R889" i="5"/>
  <c r="R981" i="5"/>
  <c r="R1053" i="5"/>
  <c r="AB1093" i="5"/>
  <c r="T1093" i="5"/>
  <c r="S1093" i="5"/>
  <c r="AB756" i="5"/>
  <c r="AB760" i="5"/>
  <c r="AB764" i="5"/>
  <c r="AB768" i="5"/>
  <c r="AB772" i="5"/>
  <c r="AB776" i="5"/>
  <c r="AB780" i="5"/>
  <c r="AB784" i="5"/>
  <c r="AB788" i="5"/>
  <c r="AB792" i="5"/>
  <c r="AB796" i="5"/>
  <c r="AB800" i="5"/>
  <c r="AB804" i="5"/>
  <c r="R813" i="5"/>
  <c r="AB817" i="5"/>
  <c r="S819" i="5"/>
  <c r="R835" i="5"/>
  <c r="R843" i="5"/>
  <c r="X844" i="5"/>
  <c r="R844" i="5"/>
  <c r="S865" i="5"/>
  <c r="AB868" i="5"/>
  <c r="AB876" i="5"/>
  <c r="AB877" i="5"/>
  <c r="AB880" i="5"/>
  <c r="S893" i="5"/>
  <c r="R899" i="5"/>
  <c r="R909" i="5"/>
  <c r="AB924" i="5"/>
  <c r="T929" i="5"/>
  <c r="S929" i="5"/>
  <c r="AB953" i="5"/>
  <c r="T953" i="5"/>
  <c r="S953" i="5"/>
  <c r="R994" i="5"/>
  <c r="AB1045" i="5"/>
  <c r="T1045" i="5"/>
  <c r="S1045" i="5"/>
  <c r="AB884" i="5"/>
  <c r="AB892" i="5"/>
  <c r="R906" i="5"/>
  <c r="X906" i="5"/>
  <c r="R921" i="5"/>
  <c r="R929" i="5"/>
  <c r="AB989" i="5"/>
  <c r="T989" i="5"/>
  <c r="S989" i="5"/>
  <c r="R1085" i="5"/>
  <c r="AB795" i="5"/>
  <c r="AB799" i="5"/>
  <c r="AB803" i="5"/>
  <c r="S805" i="5"/>
  <c r="R807" i="5"/>
  <c r="AB811" i="5"/>
  <c r="AB814" i="5"/>
  <c r="T814" i="5"/>
  <c r="AB819" i="5"/>
  <c r="R820" i="5"/>
  <c r="S827" i="5"/>
  <c r="X856" i="5"/>
  <c r="R856" i="5"/>
  <c r="X860" i="5"/>
  <c r="R860" i="5"/>
  <c r="X864" i="5"/>
  <c r="R864" i="5"/>
  <c r="AB896" i="5"/>
  <c r="S897" i="5"/>
  <c r="X904" i="5"/>
  <c r="R904" i="5"/>
  <c r="AB912" i="5"/>
  <c r="X924" i="5"/>
  <c r="R924" i="5"/>
  <c r="R937" i="5"/>
  <c r="R945" i="5"/>
  <c r="R962" i="5"/>
  <c r="AB970" i="5"/>
  <c r="R993" i="5"/>
  <c r="R1037" i="5"/>
  <c r="AB1077" i="5"/>
  <c r="T1077" i="5"/>
  <c r="S1077" i="5"/>
  <c r="T805" i="5"/>
  <c r="S807" i="5"/>
  <c r="T812" i="5"/>
  <c r="R824" i="5"/>
  <c r="S831" i="5"/>
  <c r="X855" i="5"/>
  <c r="R855" i="5"/>
  <c r="X876" i="5"/>
  <c r="R876" i="5"/>
  <c r="X880" i="5"/>
  <c r="R880" i="5"/>
  <c r="AB980" i="5"/>
  <c r="R1030" i="5"/>
  <c r="X1030" i="5"/>
  <c r="R1117" i="5"/>
  <c r="R1177" i="5"/>
  <c r="R809" i="5"/>
  <c r="AB815" i="5"/>
  <c r="T816" i="5"/>
  <c r="AB821" i="5"/>
  <c r="X826" i="5"/>
  <c r="R826" i="5"/>
  <c r="AB827" i="5"/>
  <c r="R828" i="5"/>
  <c r="X831" i="5"/>
  <c r="X832" i="5"/>
  <c r="R832" i="5"/>
  <c r="X840" i="5"/>
  <c r="R840" i="5"/>
  <c r="X848" i="5"/>
  <c r="R848" i="5"/>
  <c r="AB855" i="5"/>
  <c r="R861" i="5"/>
  <c r="T869" i="5"/>
  <c r="S869" i="5"/>
  <c r="AB897" i="5"/>
  <c r="AB908" i="5"/>
  <c r="AB918" i="5"/>
  <c r="R925" i="5"/>
  <c r="R961" i="5"/>
  <c r="AB1029" i="5"/>
  <c r="T1029" i="5"/>
  <c r="S1029" i="5"/>
  <c r="R1069" i="5"/>
  <c r="AB1109" i="5"/>
  <c r="T1109" i="5"/>
  <c r="S1109" i="5"/>
  <c r="R821" i="5"/>
  <c r="R830" i="5"/>
  <c r="R857" i="5"/>
  <c r="AB859" i="5"/>
  <c r="AB863" i="5"/>
  <c r="AB871" i="5"/>
  <c r="R877" i="5"/>
  <c r="T885" i="5"/>
  <c r="S885" i="5"/>
  <c r="R887" i="5"/>
  <c r="X896" i="5"/>
  <c r="R896" i="5"/>
  <c r="R905" i="5"/>
  <c r="T913" i="5"/>
  <c r="S913" i="5"/>
  <c r="R922" i="5"/>
  <c r="AB928" i="5"/>
  <c r="R949" i="5"/>
  <c r="R965" i="5"/>
  <c r="AB969" i="5"/>
  <c r="T969" i="5"/>
  <c r="S969" i="5"/>
  <c r="AB1061" i="5"/>
  <c r="T1061" i="5"/>
  <c r="S1061" i="5"/>
  <c r="AB810" i="5"/>
  <c r="T810" i="5"/>
  <c r="X810" i="5"/>
  <c r="AB816" i="5"/>
  <c r="R825" i="5"/>
  <c r="R838" i="5"/>
  <c r="R846" i="5"/>
  <c r="R873" i="5"/>
  <c r="R893" i="5"/>
  <c r="X908" i="5"/>
  <c r="R908" i="5"/>
  <c r="X920" i="5"/>
  <c r="R920" i="5"/>
  <c r="X936" i="5"/>
  <c r="R936" i="5"/>
  <c r="R963" i="5"/>
  <c r="R1101" i="5"/>
  <c r="AB934" i="5"/>
  <c r="R951" i="5"/>
  <c r="R975" i="5"/>
  <c r="AB997" i="5"/>
  <c r="T997" i="5"/>
  <c r="X1014" i="5"/>
  <c r="AB1125" i="5"/>
  <c r="T1125" i="5"/>
  <c r="S1125" i="5"/>
  <c r="AB1153" i="5"/>
  <c r="AB1355" i="5"/>
  <c r="T1355" i="5"/>
  <c r="S1355" i="5"/>
  <c r="T818" i="5"/>
  <c r="T822" i="5"/>
  <c r="T826" i="5"/>
  <c r="T830" i="5"/>
  <c r="T834" i="5"/>
  <c r="T838" i="5"/>
  <c r="T842" i="5"/>
  <c r="T846" i="5"/>
  <c r="T850" i="5"/>
  <c r="R938" i="5"/>
  <c r="X940" i="5"/>
  <c r="R940" i="5"/>
  <c r="R986" i="5"/>
  <c r="R998" i="5"/>
  <c r="AB1004" i="5"/>
  <c r="AB1013" i="5"/>
  <c r="T1013" i="5"/>
  <c r="AB1020" i="5"/>
  <c r="R1026" i="5"/>
  <c r="X1026" i="5"/>
  <c r="R1122" i="5"/>
  <c r="AB1143" i="5"/>
  <c r="T1143" i="5"/>
  <c r="S1143" i="5"/>
  <c r="AB1144" i="5"/>
  <c r="AB1456" i="5"/>
  <c r="T1456" i="5"/>
  <c r="S1456" i="5"/>
  <c r="AB965" i="5"/>
  <c r="T965" i="5"/>
  <c r="AB976" i="5"/>
  <c r="R1010" i="5"/>
  <c r="X1010" i="5"/>
  <c r="R1029" i="5"/>
  <c r="R1042" i="5"/>
  <c r="X1042" i="5"/>
  <c r="R1058" i="5"/>
  <c r="R1090" i="5"/>
  <c r="X1090" i="5"/>
  <c r="R1106" i="5"/>
  <c r="X1156" i="5"/>
  <c r="R1156" i="5"/>
  <c r="R1163" i="5"/>
  <c r="AB1183" i="5"/>
  <c r="S1183" i="5"/>
  <c r="T1183" i="5"/>
  <c r="R862" i="5"/>
  <c r="R878" i="5"/>
  <c r="R894" i="5"/>
  <c r="R910" i="5"/>
  <c r="R926" i="5"/>
  <c r="R939" i="5"/>
  <c r="R943" i="5"/>
  <c r="R957" i="5"/>
  <c r="R959" i="5"/>
  <c r="R978" i="5"/>
  <c r="X978" i="5"/>
  <c r="AB1005" i="5"/>
  <c r="T1005" i="5"/>
  <c r="R1014" i="5"/>
  <c r="AB1021" i="5"/>
  <c r="T1021" i="5"/>
  <c r="AB1188" i="5"/>
  <c r="R1212" i="5"/>
  <c r="X1212" i="5"/>
  <c r="AB1266" i="5"/>
  <c r="AB857" i="5"/>
  <c r="AB862" i="5"/>
  <c r="AB873" i="5"/>
  <c r="AB878" i="5"/>
  <c r="AB889" i="5"/>
  <c r="AB894" i="5"/>
  <c r="S901" i="5"/>
  <c r="AB905" i="5"/>
  <c r="AB910" i="5"/>
  <c r="S917" i="5"/>
  <c r="AB921" i="5"/>
  <c r="AB926" i="5"/>
  <c r="AB961" i="5"/>
  <c r="T961" i="5"/>
  <c r="AB981" i="5"/>
  <c r="T981" i="5"/>
  <c r="AB996" i="5"/>
  <c r="R1002" i="5"/>
  <c r="S1013" i="5"/>
  <c r="R1121" i="5"/>
  <c r="R1135" i="5"/>
  <c r="X1135" i="5"/>
  <c r="R1172" i="5"/>
  <c r="X1172" i="5"/>
  <c r="AB1180" i="5"/>
  <c r="X1220" i="5"/>
  <c r="R1220" i="5"/>
  <c r="R1227" i="5"/>
  <c r="X1240" i="5"/>
  <c r="R1240" i="5"/>
  <c r="AB1262" i="5"/>
  <c r="R1513" i="5"/>
  <c r="T945" i="5"/>
  <c r="S945" i="5"/>
  <c r="R954" i="5"/>
  <c r="X955" i="5"/>
  <c r="R955" i="5"/>
  <c r="X998" i="5"/>
  <c r="R1001" i="5"/>
  <c r="AB1036" i="5"/>
  <c r="R1041" i="5"/>
  <c r="AB1052" i="5"/>
  <c r="R1057" i="5"/>
  <c r="AB1068" i="5"/>
  <c r="R1073" i="5"/>
  <c r="AB1084" i="5"/>
  <c r="R1089" i="5"/>
  <c r="AB1100" i="5"/>
  <c r="R1105" i="5"/>
  <c r="AB1116" i="5"/>
  <c r="AB1136" i="5"/>
  <c r="T1136" i="5"/>
  <c r="S1136" i="5"/>
  <c r="R1199" i="5"/>
  <c r="AB1258" i="5"/>
  <c r="S1418" i="5"/>
  <c r="T1418" i="5"/>
  <c r="AB1418" i="5"/>
  <c r="AB901" i="5"/>
  <c r="AB906" i="5"/>
  <c r="AB917" i="5"/>
  <c r="AB922" i="5"/>
  <c r="R934" i="5"/>
  <c r="R935" i="5"/>
  <c r="X948" i="5"/>
  <c r="R948" i="5"/>
  <c r="AB957" i="5"/>
  <c r="T957" i="5"/>
  <c r="S965" i="5"/>
  <c r="R966" i="5"/>
  <c r="R982" i="5"/>
  <c r="AB988"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R1157" i="5"/>
  <c r="X1176" i="5"/>
  <c r="X1184" i="5"/>
  <c r="R1221" i="5"/>
  <c r="AB1240" i="5"/>
  <c r="S1240" i="5"/>
  <c r="R1345" i="5"/>
  <c r="X1383" i="5"/>
  <c r="R1383" i="5"/>
  <c r="AB1468" i="5"/>
  <c r="T1468" i="5"/>
  <c r="S1468" i="5"/>
  <c r="AB1270" i="5"/>
  <c r="AB1274" i="5"/>
  <c r="AB1278" i="5"/>
  <c r="AB1282" i="5"/>
  <c r="AB1286" i="5"/>
  <c r="AB1290" i="5"/>
  <c r="AB1294" i="5"/>
  <c r="AB1298" i="5"/>
  <c r="AB1302" i="5"/>
  <c r="AB1306" i="5"/>
  <c r="AB1310" i="5"/>
  <c r="AB1314" i="5"/>
  <c r="AB1318" i="5"/>
  <c r="AB1322" i="5"/>
  <c r="AB1326" i="5"/>
  <c r="AB1330" i="5"/>
  <c r="AB1334" i="5"/>
  <c r="AB1350" i="5"/>
  <c r="R1361" i="5"/>
  <c r="R1373" i="5"/>
  <c r="R1389" i="5"/>
  <c r="AB1400" i="5"/>
  <c r="T1400" i="5"/>
  <c r="S1400" i="5"/>
  <c r="AB1416" i="5"/>
  <c r="T1416" i="5"/>
  <c r="S1416" i="5"/>
  <c r="R1502" i="5"/>
  <c r="R990" i="5"/>
  <c r="R1006" i="5"/>
  <c r="R1022" i="5"/>
  <c r="R1038" i="5"/>
  <c r="R1054" i="5"/>
  <c r="R1070" i="5"/>
  <c r="R1102" i="5"/>
  <c r="R1118" i="5"/>
  <c r="AB1137" i="5"/>
  <c r="R1149" i="5"/>
  <c r="R1155" i="5"/>
  <c r="X1155" i="5"/>
  <c r="T1158" i="5"/>
  <c r="AB1158" i="5"/>
  <c r="S1158" i="5"/>
  <c r="R1160" i="5"/>
  <c r="T1182" i="5"/>
  <c r="AB1182" i="5"/>
  <c r="R1185" i="5"/>
  <c r="AB1187" i="5"/>
  <c r="S1187" i="5"/>
  <c r="T1194" i="5"/>
  <c r="S1194" i="5"/>
  <c r="R1200" i="5"/>
  <c r="AB1208" i="5"/>
  <c r="S1208" i="5"/>
  <c r="R1219" i="5"/>
  <c r="T1222" i="5"/>
  <c r="AB1222" i="5"/>
  <c r="S1222" i="5"/>
  <c r="AB1244" i="5"/>
  <c r="AB1252" i="5"/>
  <c r="AB1413" i="5"/>
  <c r="S1413" i="5"/>
  <c r="R1537" i="5"/>
  <c r="R1545"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AB1048" i="5"/>
  <c r="S1049" i="5"/>
  <c r="AB1057" i="5"/>
  <c r="T1057" i="5"/>
  <c r="AB1064" i="5"/>
  <c r="S1065" i="5"/>
  <c r="AB1073" i="5"/>
  <c r="T1073" i="5"/>
  <c r="AB1080" i="5"/>
  <c r="S1081" i="5"/>
  <c r="AB1089" i="5"/>
  <c r="T1089" i="5"/>
  <c r="AB1096" i="5"/>
  <c r="S1097" i="5"/>
  <c r="AB1105" i="5"/>
  <c r="T1105" i="5"/>
  <c r="AB1112" i="5"/>
  <c r="S1113" i="5"/>
  <c r="AB1121" i="5"/>
  <c r="T1121" i="5"/>
  <c r="AB1128" i="5"/>
  <c r="S1129" i="5"/>
  <c r="S1132" i="5"/>
  <c r="S1146" i="5"/>
  <c r="X1151" i="5"/>
  <c r="R1189" i="5"/>
  <c r="X1200" i="5"/>
  <c r="X1208" i="5"/>
  <c r="X1216" i="5"/>
  <c r="X1248" i="5"/>
  <c r="R1342" i="5"/>
  <c r="R1372" i="5"/>
  <c r="X1372" i="5"/>
  <c r="R1018" i="5"/>
  <c r="R1034" i="5"/>
  <c r="R1050" i="5"/>
  <c r="R1066" i="5"/>
  <c r="R1082" i="5"/>
  <c r="R1098" i="5"/>
  <c r="R1114" i="5"/>
  <c r="R1130" i="5"/>
  <c r="T1150" i="5"/>
  <c r="AB1150" i="5"/>
  <c r="AB1156" i="5"/>
  <c r="X1192" i="5"/>
  <c r="AB1220" i="5"/>
  <c r="R1232" i="5"/>
  <c r="R1256" i="5"/>
  <c r="X1256" i="5"/>
  <c r="R1260" i="5"/>
  <c r="X1260" i="5"/>
  <c r="R1264" i="5"/>
  <c r="X1264" i="5"/>
  <c r="R1268" i="5"/>
  <c r="X1268" i="5"/>
  <c r="R1276" i="5"/>
  <c r="X1276" i="5"/>
  <c r="R1280" i="5"/>
  <c r="X1280" i="5"/>
  <c r="R1284" i="5"/>
  <c r="X1284" i="5"/>
  <c r="R1288" i="5"/>
  <c r="X1288" i="5"/>
  <c r="R1296" i="5"/>
  <c r="X1296" i="5"/>
  <c r="R1300" i="5"/>
  <c r="X1300" i="5"/>
  <c r="R1312" i="5"/>
  <c r="X1312" i="5"/>
  <c r="R1316" i="5"/>
  <c r="X1316" i="5"/>
  <c r="R1324" i="5"/>
  <c r="X1324" i="5"/>
  <c r="R1328" i="5"/>
  <c r="X1328" i="5"/>
  <c r="R1332" i="5"/>
  <c r="X1332" i="5"/>
  <c r="AB1368" i="5"/>
  <c r="AB1384" i="5"/>
  <c r="AB1388" i="5"/>
  <c r="AB1398" i="5"/>
  <c r="AB1407" i="5"/>
  <c r="X1432" i="5"/>
  <c r="R1432" i="5"/>
  <c r="T1494" i="5"/>
  <c r="S1494" i="5"/>
  <c r="AB1494" i="5"/>
  <c r="AB1028" i="5"/>
  <c r="AB1037" i="5"/>
  <c r="T1037" i="5"/>
  <c r="AB1044" i="5"/>
  <c r="AB1053" i="5"/>
  <c r="T1053" i="5"/>
  <c r="AB1060" i="5"/>
  <c r="AB1069" i="5"/>
  <c r="T1069" i="5"/>
  <c r="AB1076" i="5"/>
  <c r="AB1085" i="5"/>
  <c r="T1085" i="5"/>
  <c r="AB1092" i="5"/>
  <c r="AB1101" i="5"/>
  <c r="T1101" i="5"/>
  <c r="AB1108" i="5"/>
  <c r="AB1117" i="5"/>
  <c r="T1117" i="5"/>
  <c r="X1118" i="5"/>
  <c r="AB1124" i="5"/>
  <c r="AB1139" i="5"/>
  <c r="T1139" i="5"/>
  <c r="AB1141" i="5"/>
  <c r="AB1148" i="5"/>
  <c r="T1148" i="5"/>
  <c r="T1187" i="5"/>
  <c r="R1209" i="5"/>
  <c r="AB1215" i="5"/>
  <c r="S1215" i="5"/>
  <c r="X1232" i="5"/>
  <c r="R1236" i="5"/>
  <c r="R1249" i="5"/>
  <c r="AB1251" i="5"/>
  <c r="S1251" i="5"/>
  <c r="X1252" i="5"/>
  <c r="R1351" i="5"/>
  <c r="R1620" i="5"/>
  <c r="X1620" i="5"/>
  <c r="R1046" i="5"/>
  <c r="R1062" i="5"/>
  <c r="R1078" i="5"/>
  <c r="R1094" i="5"/>
  <c r="X1098" i="5"/>
  <c r="R1110" i="5"/>
  <c r="R1126" i="5"/>
  <c r="T1134" i="5"/>
  <c r="AB1134" i="5"/>
  <c r="R1142" i="5"/>
  <c r="X1148" i="5"/>
  <c r="R1151" i="5"/>
  <c r="AB1155" i="5"/>
  <c r="S1155" i="5"/>
  <c r="T1162" i="5"/>
  <c r="S1162" i="5"/>
  <c r="R1168" i="5"/>
  <c r="AB1176" i="5"/>
  <c r="S1176" i="5"/>
  <c r="R1187" i="5"/>
  <c r="T1190" i="5"/>
  <c r="AB1190" i="5"/>
  <c r="S1190" i="5"/>
  <c r="R1192" i="5"/>
  <c r="T1214" i="5"/>
  <c r="AB1214" i="5"/>
  <c r="R1217" i="5"/>
  <c r="AB1219" i="5"/>
  <c r="S1219" i="5"/>
  <c r="T1226" i="5"/>
  <c r="S1226" i="5"/>
  <c r="AB1247" i="5"/>
  <c r="S1247" i="5"/>
  <c r="T1232" i="5"/>
  <c r="T1239" i="5"/>
  <c r="T1357" i="5"/>
  <c r="S1357" i="5"/>
  <c r="X1363" i="5"/>
  <c r="AB1367" i="5"/>
  <c r="T1367" i="5"/>
  <c r="AB1387" i="5"/>
  <c r="T1387" i="5"/>
  <c r="S1387" i="5"/>
  <c r="R1393" i="5"/>
  <c r="R1396" i="5"/>
  <c r="X1396" i="5"/>
  <c r="S1402" i="5"/>
  <c r="AB1402" i="5"/>
  <c r="T1402" i="5"/>
  <c r="X1424" i="5"/>
  <c r="R1424" i="5"/>
  <c r="R1478" i="5"/>
  <c r="X1518" i="5"/>
  <c r="AB1520" i="5"/>
  <c r="T1520" i="5"/>
  <c r="S1520" i="5"/>
  <c r="R1541" i="5"/>
  <c r="AB1750" i="5"/>
  <c r="AB1135" i="5"/>
  <c r="R1136" i="5"/>
  <c r="AB1142" i="5"/>
  <c r="R1143" i="5"/>
  <c r="AB1151" i="5"/>
  <c r="R1152" i="5"/>
  <c r="AB1160" i="5"/>
  <c r="AB1163" i="5"/>
  <c r="T1163" i="5"/>
  <c r="AB1192" i="5"/>
  <c r="AB1195" i="5"/>
  <c r="T1195" i="5"/>
  <c r="X1214" i="5"/>
  <c r="AB1224" i="5"/>
  <c r="AB1227" i="5"/>
  <c r="T1227" i="5"/>
  <c r="X1246" i="5"/>
  <c r="AB1246" i="5"/>
  <c r="AB1255" i="5"/>
  <c r="AB1259" i="5"/>
  <c r="AB1263" i="5"/>
  <c r="AB1267" i="5"/>
  <c r="AB1271" i="5"/>
  <c r="AB1275" i="5"/>
  <c r="AB1279" i="5"/>
  <c r="AB1283" i="5"/>
  <c r="AB1287" i="5"/>
  <c r="AB1291" i="5"/>
  <c r="AB1295" i="5"/>
  <c r="AB1299" i="5"/>
  <c r="AB1303" i="5"/>
  <c r="AB1307" i="5"/>
  <c r="AB1311" i="5"/>
  <c r="AB1315" i="5"/>
  <c r="AB1319" i="5"/>
  <c r="AB1323" i="5"/>
  <c r="AB1327" i="5"/>
  <c r="AB1331" i="5"/>
  <c r="AB1335" i="5"/>
  <c r="R1336" i="5"/>
  <c r="T1377" i="5"/>
  <c r="S1377" i="5"/>
  <c r="AB1386" i="5"/>
  <c r="R1387" i="5"/>
  <c r="X1410" i="5"/>
  <c r="R1458" i="5"/>
  <c r="R1469" i="5"/>
  <c r="AB1484" i="5"/>
  <c r="T1484" i="5"/>
  <c r="AB1489" i="5"/>
  <c r="R1503" i="5"/>
  <c r="R1531" i="5"/>
  <c r="R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AB1171" i="5"/>
  <c r="T1171" i="5"/>
  <c r="S1184" i="5"/>
  <c r="S1191" i="5"/>
  <c r="S1198" i="5"/>
  <c r="AB1203" i="5"/>
  <c r="T1203" i="5"/>
  <c r="S1216" i="5"/>
  <c r="S1223" i="5"/>
  <c r="S1230" i="5"/>
  <c r="AB1235" i="5"/>
  <c r="T1235" i="5"/>
  <c r="S1248" i="5"/>
  <c r="T1337" i="5"/>
  <c r="AB1337" i="5"/>
  <c r="AB1339" i="5"/>
  <c r="R1344" i="5"/>
  <c r="AB1354" i="5"/>
  <c r="X1355" i="5"/>
  <c r="R1355" i="5"/>
  <c r="AB1363" i="5"/>
  <c r="T1363" i="5"/>
  <c r="R1364" i="5"/>
  <c r="X1364" i="5"/>
  <c r="S1367" i="5"/>
  <c r="T1373" i="5"/>
  <c r="S1373" i="5"/>
  <c r="X1379" i="5"/>
  <c r="AB1383" i="5"/>
  <c r="T1383" i="5"/>
  <c r="AB1436" i="5"/>
  <c r="T1436" i="5"/>
  <c r="S1436" i="5"/>
  <c r="X1446" i="5"/>
  <c r="R1446" i="5"/>
  <c r="R1459" i="5"/>
  <c r="X1459" i="5"/>
  <c r="R1529" i="5"/>
  <c r="T1549" i="5"/>
  <c r="S1549" i="5"/>
  <c r="AB1549" i="5"/>
  <c r="S1138" i="5"/>
  <c r="S1140" i="5"/>
  <c r="S1147" i="5"/>
  <c r="S1154" i="5"/>
  <c r="T1159" i="5"/>
  <c r="X1178" i="5"/>
  <c r="AB1178" i="5"/>
  <c r="T1191" i="5"/>
  <c r="X1210" i="5"/>
  <c r="AB1210" i="5"/>
  <c r="T1223" i="5"/>
  <c r="X1242" i="5"/>
  <c r="AB1242" i="5"/>
  <c r="X1367" i="5"/>
  <c r="R1367" i="5"/>
  <c r="T1393" i="5"/>
  <c r="S1393" i="5"/>
  <c r="AB1399" i="5"/>
  <c r="T1399" i="5"/>
  <c r="S1399" i="5"/>
  <c r="X1408" i="5"/>
  <c r="AB1414" i="5"/>
  <c r="X1416" i="5"/>
  <c r="R1416" i="5"/>
  <c r="R1418" i="5"/>
  <c r="AB1428" i="5"/>
  <c r="T1428" i="5"/>
  <c r="S1428" i="5"/>
  <c r="R1462" i="5"/>
  <c r="X1462" i="5"/>
  <c r="AB1473" i="5"/>
  <c r="T1473" i="5"/>
  <c r="S1473" i="5"/>
  <c r="R1474" i="5"/>
  <c r="R1483" i="5"/>
  <c r="R1542" i="5"/>
  <c r="AB1642" i="5"/>
  <c r="T1642" i="5"/>
  <c r="S1642" i="5"/>
  <c r="S1160" i="5"/>
  <c r="AB1166" i="5"/>
  <c r="S1174" i="5"/>
  <c r="AB1179" i="5"/>
  <c r="T1179" i="5"/>
  <c r="S1192" i="5"/>
  <c r="AB1198" i="5"/>
  <c r="S1206" i="5"/>
  <c r="AB1211" i="5"/>
  <c r="T1211" i="5"/>
  <c r="S1224" i="5"/>
  <c r="X1230" i="5"/>
  <c r="AB1230" i="5"/>
  <c r="S1238" i="5"/>
  <c r="AB1243" i="5"/>
  <c r="T1243" i="5"/>
  <c r="R1341" i="5"/>
  <c r="T1345" i="5"/>
  <c r="AB1345" i="5"/>
  <c r="AB1347" i="5"/>
  <c r="AB1351" i="5"/>
  <c r="T1351" i="5"/>
  <c r="AB1371" i="5"/>
  <c r="T1371" i="5"/>
  <c r="S1371" i="5"/>
  <c r="R1377" i="5"/>
  <c r="AB1378" i="5"/>
  <c r="X1412" i="5"/>
  <c r="R1412" i="5"/>
  <c r="AB1420" i="5"/>
  <c r="T1420" i="5"/>
  <c r="S1420" i="5"/>
  <c r="S1434" i="5"/>
  <c r="T1434" i="5"/>
  <c r="X1483" i="5"/>
  <c r="R1498" i="5"/>
  <c r="R1509" i="5"/>
  <c r="AB1532" i="5"/>
  <c r="T1532" i="5"/>
  <c r="S1532" i="5"/>
  <c r="S1142" i="5"/>
  <c r="AB1167" i="5"/>
  <c r="T1167" i="5"/>
  <c r="X1186" i="5"/>
  <c r="AB1186" i="5"/>
  <c r="AB1199" i="5"/>
  <c r="T1199" i="5"/>
  <c r="X1218" i="5"/>
  <c r="AB1218" i="5"/>
  <c r="AB1231" i="5"/>
  <c r="T1231" i="5"/>
  <c r="AB1250" i="5"/>
  <c r="R1257" i="5"/>
  <c r="R1261" i="5"/>
  <c r="X1265" i="5"/>
  <c r="R1265" i="5"/>
  <c r="R1269" i="5"/>
  <c r="R1273" i="5"/>
  <c r="R1277" i="5"/>
  <c r="R1281" i="5"/>
  <c r="R1289" i="5"/>
  <c r="R1293" i="5"/>
  <c r="R1301" i="5"/>
  <c r="R1305" i="5"/>
  <c r="R1309" i="5"/>
  <c r="R1321" i="5"/>
  <c r="R1333" i="5"/>
  <c r="R1337" i="5"/>
  <c r="R1356" i="5"/>
  <c r="AB1357" i="5"/>
  <c r="T1361" i="5"/>
  <c r="S1361" i="5"/>
  <c r="R1363" i="5"/>
  <c r="AB1370" i="5"/>
  <c r="X1371" i="5"/>
  <c r="R1371" i="5"/>
  <c r="AB1379" i="5"/>
  <c r="T1379" i="5"/>
  <c r="R1380" i="5"/>
  <c r="X1380" i="5"/>
  <c r="T1389" i="5"/>
  <c r="S1389" i="5"/>
  <c r="X1395" i="5"/>
  <c r="S1426" i="5"/>
  <c r="T1426" i="5"/>
  <c r="AB1441" i="5"/>
  <c r="T1441" i="5"/>
  <c r="S1441" i="5"/>
  <c r="X1442" i="5"/>
  <c r="R1442" i="5"/>
  <c r="AB1452" i="5"/>
  <c r="T1452" i="5"/>
  <c r="S1452" i="5"/>
  <c r="R1453" i="5"/>
  <c r="R1481" i="5"/>
  <c r="R1493" i="5"/>
  <c r="AB1500" i="5"/>
  <c r="T1500" i="5"/>
  <c r="S1500" i="5"/>
  <c r="AB1504" i="5"/>
  <c r="T1504" i="5"/>
  <c r="S1504" i="5"/>
  <c r="T1506" i="5"/>
  <c r="S1506" i="5"/>
  <c r="AB1506" i="5"/>
  <c r="R1515" i="5"/>
  <c r="R1530" i="5"/>
  <c r="AB1634" i="5"/>
  <c r="T1634" i="5"/>
  <c r="S1634" i="5"/>
  <c r="AB1395" i="5"/>
  <c r="T1395" i="5"/>
  <c r="AB1412" i="5"/>
  <c r="T1412" i="5"/>
  <c r="S1412" i="5"/>
  <c r="S1458" i="5"/>
  <c r="AB1458" i="5"/>
  <c r="R1463" i="5"/>
  <c r="AB1472" i="5"/>
  <c r="T1472" i="5"/>
  <c r="S1472" i="5"/>
  <c r="R1475" i="5"/>
  <c r="T1510" i="5"/>
  <c r="S1510" i="5"/>
  <c r="AB1510" i="5"/>
  <c r="T1522" i="5"/>
  <c r="S1522" i="5"/>
  <c r="R1549" i="5"/>
  <c r="X1756" i="5"/>
  <c r="R1756" i="5"/>
  <c r="T1353" i="5"/>
  <c r="S1353" i="5"/>
  <c r="T1369" i="5"/>
  <c r="S1369" i="5"/>
  <c r="T1385" i="5"/>
  <c r="S1385" i="5"/>
  <c r="AB1415" i="5"/>
  <c r="AB1424" i="5"/>
  <c r="T1424" i="5"/>
  <c r="S1424" i="5"/>
  <c r="AB1432" i="5"/>
  <c r="T1432" i="5"/>
  <c r="S1432" i="5"/>
  <c r="AB1440" i="5"/>
  <c r="T1440" i="5"/>
  <c r="S1440" i="5"/>
  <c r="R1443" i="5"/>
  <c r="X1443" i="5"/>
  <c r="AB1453" i="5"/>
  <c r="S1453" i="5"/>
  <c r="S1462" i="5"/>
  <c r="T1462" i="5"/>
  <c r="AB1462" i="5"/>
  <c r="S1474" i="5"/>
  <c r="AB1474" i="5"/>
  <c r="R1479" i="5"/>
  <c r="AB1488" i="5"/>
  <c r="T1488" i="5"/>
  <c r="S1488" i="5"/>
  <c r="R1497" i="5"/>
  <c r="R1499" i="5"/>
  <c r="X1514" i="5"/>
  <c r="R1514" i="5"/>
  <c r="R1519" i="5"/>
  <c r="X1519" i="5"/>
  <c r="R1543" i="5"/>
  <c r="S1341" i="5"/>
  <c r="AB1359" i="5"/>
  <c r="T1359" i="5"/>
  <c r="AB1364" i="5"/>
  <c r="AB1375" i="5"/>
  <c r="T1375" i="5"/>
  <c r="AB1380" i="5"/>
  <c r="AB1391" i="5"/>
  <c r="T1391" i="5"/>
  <c r="AB1396" i="5"/>
  <c r="AB1406" i="5"/>
  <c r="AB1408" i="5"/>
  <c r="T1408" i="5"/>
  <c r="S1408" i="5"/>
  <c r="AB1422" i="5"/>
  <c r="AB1430" i="5"/>
  <c r="AB1438" i="5"/>
  <c r="S1442" i="5"/>
  <c r="AB1442" i="5"/>
  <c r="R1447" i="5"/>
  <c r="AB1469" i="5"/>
  <c r="S1469" i="5"/>
  <c r="S1478" i="5"/>
  <c r="AB1478" i="5"/>
  <c r="T1478" i="5"/>
  <c r="T1490" i="5"/>
  <c r="S1490" i="5"/>
  <c r="X1512" i="5"/>
  <c r="R1512" i="5"/>
  <c r="AB1516" i="5"/>
  <c r="T1516" i="5"/>
  <c r="R1525" i="5"/>
  <c r="X1534" i="5"/>
  <c r="AB1536" i="5"/>
  <c r="T1536" i="5"/>
  <c r="T1553" i="5"/>
  <c r="S1553" i="5"/>
  <c r="AB1706" i="5"/>
  <c r="T1706" i="5"/>
  <c r="S1706" i="5"/>
  <c r="R1830" i="5"/>
  <c r="X1830" i="5"/>
  <c r="T1349" i="5"/>
  <c r="S1349" i="5"/>
  <c r="T1365" i="5"/>
  <c r="S1365" i="5"/>
  <c r="T1381" i="5"/>
  <c r="S1381" i="5"/>
  <c r="T1397" i="5"/>
  <c r="S1397" i="5"/>
  <c r="AB1404" i="5"/>
  <c r="T1404" i="5"/>
  <c r="S1404" i="5"/>
  <c r="S1446" i="5"/>
  <c r="AB1446" i="5"/>
  <c r="T1446" i="5"/>
  <c r="AB1457" i="5"/>
  <c r="T1457" i="5"/>
  <c r="S1457" i="5"/>
  <c r="R1482" i="5"/>
  <c r="R1487" i="5"/>
  <c r="AB1521"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R1423" i="5"/>
  <c r="R1431" i="5"/>
  <c r="R1439" i="5"/>
  <c r="AB1448" i="5"/>
  <c r="T1448" i="5"/>
  <c r="X1452" i="5"/>
  <c r="AB1480" i="5"/>
  <c r="T1480" i="5"/>
  <c r="T1482" i="5"/>
  <c r="S1482" i="5"/>
  <c r="AB1482" i="5"/>
  <c r="X1490" i="5"/>
  <c r="X1504" i="5"/>
  <c r="R1507" i="5"/>
  <c r="AB1508" i="5"/>
  <c r="T1508" i="5"/>
  <c r="T1514" i="5"/>
  <c r="S1514" i="5"/>
  <c r="AB1514" i="5"/>
  <c r="X1522" i="5"/>
  <c r="AB1626" i="5"/>
  <c r="T1626" i="5"/>
  <c r="S1626" i="5"/>
  <c r="AB1698" i="5"/>
  <c r="T1698" i="5"/>
  <c r="S1698" i="5"/>
  <c r="T2470" i="5"/>
  <c r="AB2470" i="5"/>
  <c r="S2470" i="5"/>
  <c r="X1423" i="5"/>
  <c r="AB1423" i="5"/>
  <c r="X1431" i="5"/>
  <c r="AB1431" i="5"/>
  <c r="X1439" i="5"/>
  <c r="AB1439" i="5"/>
  <c r="AB1444" i="5"/>
  <c r="T1444" i="5"/>
  <c r="AB1445" i="5"/>
  <c r="X1448" i="5"/>
  <c r="R1467" i="5"/>
  <c r="AB1476" i="5"/>
  <c r="T1476" i="5"/>
  <c r="AB1477" i="5"/>
  <c r="X1480" i="5"/>
  <c r="AB1485" i="5"/>
  <c r="T1486" i="5"/>
  <c r="S1486" i="5"/>
  <c r="AB1486" i="5"/>
  <c r="X1507" i="5"/>
  <c r="R1511" i="5"/>
  <c r="AB1512" i="5"/>
  <c r="T1512" i="5"/>
  <c r="AB1517" i="5"/>
  <c r="T1518" i="5"/>
  <c r="S1518" i="5"/>
  <c r="AB1518" i="5"/>
  <c r="X1538" i="5"/>
  <c r="R1538" i="5"/>
  <c r="AB1541" i="5"/>
  <c r="AB1544" i="5"/>
  <c r="T1544" i="5"/>
  <c r="AB1556" i="5"/>
  <c r="AB1560" i="5"/>
  <c r="AB1564" i="5"/>
  <c r="AB1568" i="5"/>
  <c r="AB1572" i="5"/>
  <c r="AB1576" i="5"/>
  <c r="AB1580" i="5"/>
  <c r="AB1584" i="5"/>
  <c r="AB1588" i="5"/>
  <c r="AB1592" i="5"/>
  <c r="AB1596" i="5"/>
  <c r="AB1600" i="5"/>
  <c r="AB1604" i="5"/>
  <c r="AB1608" i="5"/>
  <c r="AB1612" i="5"/>
  <c r="AB1616" i="5"/>
  <c r="X1640" i="5"/>
  <c r="R1640" i="5"/>
  <c r="X1648" i="5"/>
  <c r="R1648" i="5"/>
  <c r="AB1666" i="5"/>
  <c r="T1666" i="5"/>
  <c r="S1666" i="5"/>
  <c r="AB1674" i="5"/>
  <c r="T1674" i="5"/>
  <c r="S1674" i="5"/>
  <c r="X1751" i="5"/>
  <c r="R1751" i="5"/>
  <c r="R1411" i="5"/>
  <c r="R1419" i="5"/>
  <c r="R1427" i="5"/>
  <c r="R1435" i="5"/>
  <c r="R1452" i="5"/>
  <c r="R1455" i="5"/>
  <c r="AB1464" i="5"/>
  <c r="T1464" i="5"/>
  <c r="X1468" i="5"/>
  <c r="X1488" i="5"/>
  <c r="R1491" i="5"/>
  <c r="AB1492" i="5"/>
  <c r="T1492" i="5"/>
  <c r="T1498" i="5"/>
  <c r="S1498" i="5"/>
  <c r="AB1498" i="5"/>
  <c r="X1506" i="5"/>
  <c r="X1520" i="5"/>
  <c r="R1523"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X1766" i="5"/>
  <c r="R1766" i="5"/>
  <c r="AB1403" i="5"/>
  <c r="X1406" i="5"/>
  <c r="X1411" i="5"/>
  <c r="AB1411" i="5"/>
  <c r="X1414" i="5"/>
  <c r="X1419" i="5"/>
  <c r="AB1419" i="5"/>
  <c r="X1422" i="5"/>
  <c r="X1427" i="5"/>
  <c r="AB1427" i="5"/>
  <c r="X1430" i="5"/>
  <c r="X1435" i="5"/>
  <c r="AB1435" i="5"/>
  <c r="R1448" i="5"/>
  <c r="R1449" i="5"/>
  <c r="R1451" i="5"/>
  <c r="X1455" i="5"/>
  <c r="AB1460" i="5"/>
  <c r="T1460" i="5"/>
  <c r="AB1461" i="5"/>
  <c r="R1480" i="5"/>
  <c r="X1491" i="5"/>
  <c r="X1492" i="5"/>
  <c r="R1495" i="5"/>
  <c r="AB1496" i="5"/>
  <c r="T1496" i="5"/>
  <c r="AB1501" i="5"/>
  <c r="T1502" i="5"/>
  <c r="S1502" i="5"/>
  <c r="AB1502" i="5"/>
  <c r="S1508" i="5"/>
  <c r="X1523" i="5"/>
  <c r="X1524" i="5"/>
  <c r="R1527" i="5"/>
  <c r="AB1528" i="5"/>
  <c r="T1528" i="5"/>
  <c r="AB1533" i="5"/>
  <c r="T1534" i="5"/>
  <c r="S1534" i="5"/>
  <c r="AB1534" i="5"/>
  <c r="X1539" i="5"/>
  <c r="R1539" i="5"/>
  <c r="S1544" i="5"/>
  <c r="AB1619" i="5"/>
  <c r="AB1623" i="5"/>
  <c r="AB1638" i="5"/>
  <c r="T1638" i="5"/>
  <c r="S1638" i="5"/>
  <c r="AB1655" i="5"/>
  <c r="AB1670" i="5"/>
  <c r="T1670" i="5"/>
  <c r="S1670" i="5"/>
  <c r="X1676" i="5"/>
  <c r="R1676" i="5"/>
  <c r="AB1687" i="5"/>
  <c r="AB1702" i="5"/>
  <c r="T1702" i="5"/>
  <c r="S1702" i="5"/>
  <c r="AB1719" i="5"/>
  <c r="R1741" i="5"/>
  <c r="X1768" i="5"/>
  <c r="R1773" i="5"/>
  <c r="AB1825" i="5"/>
  <c r="AB1832" i="5"/>
  <c r="AB1869" i="5"/>
  <c r="T1869" i="5"/>
  <c r="S1869" i="5"/>
  <c r="AB1545" i="5"/>
  <c r="R1546" i="5"/>
  <c r="T1550" i="5"/>
  <c r="S1551" i="5"/>
  <c r="S1627" i="5"/>
  <c r="AB1631" i="5"/>
  <c r="AB1646" i="5"/>
  <c r="T1646" i="5"/>
  <c r="S1646" i="5"/>
  <c r="AB1663" i="5"/>
  <c r="AB1678" i="5"/>
  <c r="T1678" i="5"/>
  <c r="S1678" i="5"/>
  <c r="AB1695" i="5"/>
  <c r="AB1710" i="5"/>
  <c r="T1710" i="5"/>
  <c r="S1710" i="5"/>
  <c r="AB1727" i="5"/>
  <c r="T1546" i="5"/>
  <c r="AB1550" i="5"/>
  <c r="T1551" i="5"/>
  <c r="R1628" i="5"/>
  <c r="AB1650" i="5"/>
  <c r="T1650" i="5"/>
  <c r="S1650" i="5"/>
  <c r="X1656" i="5"/>
  <c r="R1656" i="5"/>
  <c r="AB1682" i="5"/>
  <c r="T1682" i="5"/>
  <c r="S1682" i="5"/>
  <c r="AB1714" i="5"/>
  <c r="T1714" i="5"/>
  <c r="S1714" i="5"/>
  <c r="X1720" i="5"/>
  <c r="R1720" i="5"/>
  <c r="R1749" i="5"/>
  <c r="AB1835" i="5"/>
  <c r="S1547" i="5"/>
  <c r="AB1654" i="5"/>
  <c r="T1654" i="5"/>
  <c r="S1654" i="5"/>
  <c r="AB1686" i="5"/>
  <c r="T1686" i="5"/>
  <c r="S1686" i="5"/>
  <c r="X1692" i="5"/>
  <c r="R1692" i="5"/>
  <c r="AB1718" i="5"/>
  <c r="T1718" i="5"/>
  <c r="S1718" i="5"/>
  <c r="X1808" i="5"/>
  <c r="R1808" i="5"/>
  <c r="AB1858" i="5"/>
  <c r="AB1546" i="5"/>
  <c r="AB1552" i="5"/>
  <c r="S1619" i="5"/>
  <c r="S1623" i="5"/>
  <c r="X1632" i="5"/>
  <c r="R1632" i="5"/>
  <c r="AB1643" i="5"/>
  <c r="AB1658" i="5"/>
  <c r="T1658" i="5"/>
  <c r="S1658" i="5"/>
  <c r="X1664" i="5"/>
  <c r="AB1675" i="5"/>
  <c r="AB1690" i="5"/>
  <c r="T1690" i="5"/>
  <c r="S1690" i="5"/>
  <c r="AB1707" i="5"/>
  <c r="AB1722" i="5"/>
  <c r="T1722" i="5"/>
  <c r="S1722" i="5"/>
  <c r="X1728" i="5"/>
  <c r="R1728" i="5"/>
  <c r="T1744" i="5"/>
  <c r="S1744" i="5"/>
  <c r="AB1744" i="5"/>
  <c r="AB1910" i="5"/>
  <c r="T1910" i="5"/>
  <c r="S1910" i="5"/>
  <c r="AB1547" i="5"/>
  <c r="R1557" i="5"/>
  <c r="R1561" i="5"/>
  <c r="R1565" i="5"/>
  <c r="R1569" i="5"/>
  <c r="R1573" i="5"/>
  <c r="R1577" i="5"/>
  <c r="R1581" i="5"/>
  <c r="R1585" i="5"/>
  <c r="R1589" i="5"/>
  <c r="R1597" i="5"/>
  <c r="R1601" i="5"/>
  <c r="R1605" i="5"/>
  <c r="R1613" i="5"/>
  <c r="R1617" i="5"/>
  <c r="T1619" i="5"/>
  <c r="R1621" i="5"/>
  <c r="T1623" i="5"/>
  <c r="AB1627" i="5"/>
  <c r="AB1630" i="5"/>
  <c r="T1630" i="5"/>
  <c r="S1630" i="5"/>
  <c r="X1636" i="5"/>
  <c r="R1636" i="5"/>
  <c r="AB1647" i="5"/>
  <c r="AB1662" i="5"/>
  <c r="T1662" i="5"/>
  <c r="S1662" i="5"/>
  <c r="AB1679" i="5"/>
  <c r="AB1694" i="5"/>
  <c r="T1694" i="5"/>
  <c r="S1694" i="5"/>
  <c r="AB1726" i="5"/>
  <c r="T1726" i="5"/>
  <c r="S1726" i="5"/>
  <c r="R1757" i="5"/>
  <c r="R1769" i="5"/>
  <c r="R1891" i="5"/>
  <c r="X1891" i="5"/>
  <c r="X1704" i="5"/>
  <c r="R1704" i="5"/>
  <c r="AB1715" i="5"/>
  <c r="AB1730" i="5"/>
  <c r="T1730" i="5"/>
  <c r="S1730" i="5"/>
  <c r="S1873" i="5"/>
  <c r="AB1873" i="5"/>
  <c r="T1873" i="5"/>
  <c r="AB1878" i="5"/>
  <c r="T1878" i="5"/>
  <c r="S1878" i="5"/>
  <c r="AB1734" i="5"/>
  <c r="AB1736" i="5"/>
  <c r="AB1751" i="5"/>
  <c r="X1752" i="5"/>
  <c r="AB1764" i="5"/>
  <c r="T1764" i="5"/>
  <c r="X1778" i="5"/>
  <c r="R1778" i="5"/>
  <c r="X1782" i="5"/>
  <c r="R1782" i="5"/>
  <c r="X1790" i="5"/>
  <c r="R1790" i="5"/>
  <c r="X1794" i="5"/>
  <c r="R1794" i="5"/>
  <c r="X1798" i="5"/>
  <c r="R1798" i="5"/>
  <c r="X1802" i="5"/>
  <c r="R1802" i="5"/>
  <c r="X1806" i="5"/>
  <c r="R1806" i="5"/>
  <c r="AB1846" i="5"/>
  <c r="AB1850" i="5"/>
  <c r="AB1862" i="5"/>
  <c r="R1875" i="5"/>
  <c r="X1875" i="5"/>
  <c r="AB1931" i="5"/>
  <c r="AB2041" i="5"/>
  <c r="T2041" i="5"/>
  <c r="S2041" i="5"/>
  <c r="R2113" i="5"/>
  <c r="R1625" i="5"/>
  <c r="R1629" i="5"/>
  <c r="R1637" i="5"/>
  <c r="R1645" i="5"/>
  <c r="R1649" i="5"/>
  <c r="R1661" i="5"/>
  <c r="R1677" i="5"/>
  <c r="R1681" i="5"/>
  <c r="R1685" i="5"/>
  <c r="R1689" i="5"/>
  <c r="R1701" i="5"/>
  <c r="R1705" i="5"/>
  <c r="R1709" i="5"/>
  <c r="R1717" i="5"/>
  <c r="R1721" i="5"/>
  <c r="R1729" i="5"/>
  <c r="S1735" i="5"/>
  <c r="X1748" i="5"/>
  <c r="AB1752" i="5"/>
  <c r="AB1756" i="5"/>
  <c r="T1756" i="5"/>
  <c r="X1758" i="5"/>
  <c r="R1758" i="5"/>
  <c r="AB1759" i="5"/>
  <c r="R1813" i="5"/>
  <c r="AB1815" i="5"/>
  <c r="AB1818" i="5"/>
  <c r="X1827" i="5"/>
  <c r="R1827" i="5"/>
  <c r="X1828" i="5"/>
  <c r="X1871" i="5"/>
  <c r="R1871" i="5"/>
  <c r="R1899" i="5"/>
  <c r="X1899" i="5"/>
  <c r="AB1902" i="5"/>
  <c r="T1902" i="5"/>
  <c r="S1902" i="5"/>
  <c r="T1953" i="5"/>
  <c r="S1953" i="5"/>
  <c r="AB1953" i="5"/>
  <c r="X2027" i="5"/>
  <c r="R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R1828" i="5"/>
  <c r="AB1830" i="5"/>
  <c r="AB1886" i="5"/>
  <c r="T1886" i="5"/>
  <c r="S1886" i="5"/>
  <c r="S1738" i="5"/>
  <c r="S1746" i="5"/>
  <c r="AB1763" i="5"/>
  <c r="AB1768" i="5"/>
  <c r="T1768" i="5"/>
  <c r="T1820" i="5"/>
  <c r="S1820" i="5"/>
  <c r="X1823" i="5"/>
  <c r="R1823" i="5"/>
  <c r="R1883" i="5"/>
  <c r="X1883" i="5"/>
  <c r="AB2002" i="5"/>
  <c r="AB1749" i="5"/>
  <c r="X1762" i="5"/>
  <c r="R1762" i="5"/>
  <c r="R1765" i="5"/>
  <c r="AB1776" i="5"/>
  <c r="T1776" i="5"/>
  <c r="AB1780" i="5"/>
  <c r="T1780" i="5"/>
  <c r="AB1784" i="5"/>
  <c r="T1784" i="5"/>
  <c r="AB1788" i="5"/>
  <c r="T1788" i="5"/>
  <c r="AB1792" i="5"/>
  <c r="T1792" i="5"/>
  <c r="AB1796" i="5"/>
  <c r="T1796" i="5"/>
  <c r="AB1800" i="5"/>
  <c r="T1800" i="5"/>
  <c r="AB1804" i="5"/>
  <c r="T1804" i="5"/>
  <c r="T1808" i="5"/>
  <c r="AB1808" i="5"/>
  <c r="R1818" i="5"/>
  <c r="X1818" i="5"/>
  <c r="T1844" i="5"/>
  <c r="S1844" i="5"/>
  <c r="AB1844" i="5"/>
  <c r="T1848" i="5"/>
  <c r="S1848" i="5"/>
  <c r="AB1848" i="5"/>
  <c r="T1852" i="5"/>
  <c r="S1852" i="5"/>
  <c r="AB1852" i="5"/>
  <c r="R1911" i="5"/>
  <c r="X1911" i="5"/>
  <c r="R1943" i="5"/>
  <c r="X1943" i="5"/>
  <c r="S1734" i="5"/>
  <c r="S1736" i="5"/>
  <c r="AB1755" i="5"/>
  <c r="AB1760" i="5"/>
  <c r="T1760" i="5"/>
  <c r="X1764" i="5"/>
  <c r="AB1772" i="5"/>
  <c r="T1772" i="5"/>
  <c r="R1777" i="5"/>
  <c r="R1781" i="5"/>
  <c r="R1785" i="5"/>
  <c r="R1789" i="5"/>
  <c r="R1793" i="5"/>
  <c r="R1797" i="5"/>
  <c r="R1801" i="5"/>
  <c r="R1805" i="5"/>
  <c r="AB1810" i="5"/>
  <c r="X1815" i="5"/>
  <c r="R1815" i="5"/>
  <c r="X1820" i="5"/>
  <c r="R1820" i="5"/>
  <c r="AB1839" i="5"/>
  <c r="AB1845" i="5"/>
  <c r="S1845" i="5"/>
  <c r="T1845" i="5"/>
  <c r="AB1849" i="5"/>
  <c r="S1849" i="5"/>
  <c r="T1849" i="5"/>
  <c r="AB1894" i="5"/>
  <c r="T1894" i="5"/>
  <c r="S1894" i="5"/>
  <c r="S1812" i="5"/>
  <c r="S1816" i="5"/>
  <c r="R1836" i="5"/>
  <c r="X1863" i="5"/>
  <c r="R1863" i="5"/>
  <c r="AB1865" i="5"/>
  <c r="T1865" i="5"/>
  <c r="S1865" i="5"/>
  <c r="R1907" i="5"/>
  <c r="X1907" i="5"/>
  <c r="R1923" i="5"/>
  <c r="X1923" i="5"/>
  <c r="AB1957" i="5"/>
  <c r="T1957" i="5"/>
  <c r="S1957" i="5"/>
  <c r="X2007" i="5"/>
  <c r="R2007" i="5"/>
  <c r="T2138" i="5"/>
  <c r="S2138" i="5"/>
  <c r="AB2138" i="5"/>
  <c r="AB1828" i="5"/>
  <c r="T1840" i="5"/>
  <c r="S1840" i="5"/>
  <c r="AB1840" i="5"/>
  <c r="R1842" i="5"/>
  <c r="AB1857" i="5"/>
  <c r="T1857" i="5"/>
  <c r="S1857" i="5"/>
  <c r="AB1861" i="5"/>
  <c r="T1861" i="5"/>
  <c r="S1861" i="5"/>
  <c r="AB1922" i="5"/>
  <c r="T1922" i="5"/>
  <c r="S1922" i="5"/>
  <c r="AB1950" i="5"/>
  <c r="T1950" i="5"/>
  <c r="S1950" i="5"/>
  <c r="AB2009" i="5"/>
  <c r="T2009" i="5"/>
  <c r="S2009" i="5"/>
  <c r="R2104" i="5"/>
  <c r="X2104" i="5"/>
  <c r="X2138" i="5"/>
  <c r="R2138" i="5"/>
  <c r="T1763" i="5"/>
  <c r="T1767" i="5"/>
  <c r="T1771" i="5"/>
  <c r="T1775" i="5"/>
  <c r="S1809" i="5"/>
  <c r="AB1816" i="5"/>
  <c r="S1817" i="5"/>
  <c r="AB1821" i="5"/>
  <c r="S1824" i="5"/>
  <c r="T1829" i="5"/>
  <c r="T1836" i="5"/>
  <c r="S1836" i="5"/>
  <c r="AB1836" i="5"/>
  <c r="T1837" i="5"/>
  <c r="AB1841" i="5"/>
  <c r="X1944" i="5"/>
  <c r="R1944" i="5"/>
  <c r="X1995" i="5"/>
  <c r="R1995" i="5"/>
  <c r="AB2021" i="5"/>
  <c r="T2021" i="5"/>
  <c r="S2021" i="5"/>
  <c r="R2084" i="5"/>
  <c r="X2084" i="5"/>
  <c r="T1817" i="5"/>
  <c r="AB1826" i="5"/>
  <c r="X1836" i="5"/>
  <c r="X1843" i="5"/>
  <c r="R1843" i="5"/>
  <c r="X1847" i="5"/>
  <c r="R1847" i="5"/>
  <c r="X1851" i="5"/>
  <c r="R1851" i="5"/>
  <c r="AB1854" i="5"/>
  <c r="T1856" i="5"/>
  <c r="S1856" i="5"/>
  <c r="AB1918" i="5"/>
  <c r="T1918" i="5"/>
  <c r="S1918" i="5"/>
  <c r="X1975" i="5"/>
  <c r="R1975" i="5"/>
  <c r="AB2034" i="5"/>
  <c r="AB2083" i="5"/>
  <c r="T2083" i="5"/>
  <c r="S2083" i="5"/>
  <c r="S1813" i="5"/>
  <c r="AB1824" i="5"/>
  <c r="R1838" i="5"/>
  <c r="AB1853" i="5"/>
  <c r="S1853" i="5"/>
  <c r="AB1870" i="5"/>
  <c r="R1879" i="5"/>
  <c r="X1879" i="5"/>
  <c r="R1887" i="5"/>
  <c r="X1887" i="5"/>
  <c r="R1895" i="5"/>
  <c r="X1895" i="5"/>
  <c r="AB1907" i="5"/>
  <c r="R1915" i="5"/>
  <c r="X1915" i="5"/>
  <c r="X1924" i="5"/>
  <c r="R1924" i="5"/>
  <c r="AB1930" i="5"/>
  <c r="T1930" i="5"/>
  <c r="S1930" i="5"/>
  <c r="AB1977" i="5"/>
  <c r="T1977" i="5"/>
  <c r="S1977" i="5"/>
  <c r="R2051" i="5"/>
  <c r="X2051" i="5"/>
  <c r="R2059" i="5"/>
  <c r="X2059" i="5"/>
  <c r="R2067" i="5"/>
  <c r="X2067" i="5"/>
  <c r="X1838" i="5"/>
  <c r="AB1866" i="5"/>
  <c r="R1903" i="5"/>
  <c r="X1903" i="5"/>
  <c r="AB1914" i="5"/>
  <c r="T1914" i="5"/>
  <c r="S1914" i="5"/>
  <c r="T1941" i="5"/>
  <c r="S1941" i="5"/>
  <c r="X1963" i="5"/>
  <c r="R1963" i="5"/>
  <c r="AB1989" i="5"/>
  <c r="T1989" i="5"/>
  <c r="S1989" i="5"/>
  <c r="X2039" i="5"/>
  <c r="R2039" i="5"/>
  <c r="R2097" i="5"/>
  <c r="X2166" i="5"/>
  <c r="R2166" i="5"/>
  <c r="S1876" i="5"/>
  <c r="X1878" i="5"/>
  <c r="T1881" i="5"/>
  <c r="S1884" i="5"/>
  <c r="X1886" i="5"/>
  <c r="T1889" i="5"/>
  <c r="S1892" i="5"/>
  <c r="X1894" i="5"/>
  <c r="T1897" i="5"/>
  <c r="S1900" i="5"/>
  <c r="X1902" i="5"/>
  <c r="T1905" i="5"/>
  <c r="X1908" i="5"/>
  <c r="X1912" i="5"/>
  <c r="X1916" i="5"/>
  <c r="X1920" i="5"/>
  <c r="T1933" i="5"/>
  <c r="S1933" i="5"/>
  <c r="R1935" i="5"/>
  <c r="AB1942" i="5"/>
  <c r="AB1965" i="5"/>
  <c r="T1965" i="5"/>
  <c r="S1965" i="5"/>
  <c r="AB1978" i="5"/>
  <c r="X1983" i="5"/>
  <c r="R1983" i="5"/>
  <c r="AB1997" i="5"/>
  <c r="T1997" i="5"/>
  <c r="S1997" i="5"/>
  <c r="AB2010" i="5"/>
  <c r="X2015" i="5"/>
  <c r="R2015" i="5"/>
  <c r="AB2029" i="5"/>
  <c r="T2029" i="5"/>
  <c r="S2029" i="5"/>
  <c r="AB2042" i="5"/>
  <c r="X2047" i="5"/>
  <c r="R2047" i="5"/>
  <c r="R2075" i="5"/>
  <c r="X1884" i="5"/>
  <c r="X1892" i="5"/>
  <c r="T1908" i="5"/>
  <c r="S1908" i="5"/>
  <c r="T1912" i="5"/>
  <c r="S1912" i="5"/>
  <c r="T1916" i="5"/>
  <c r="S1916" i="5"/>
  <c r="T1920" i="5"/>
  <c r="S1920" i="5"/>
  <c r="T1924" i="5"/>
  <c r="S1924" i="5"/>
  <c r="AB1924" i="5"/>
  <c r="T1945" i="5"/>
  <c r="S1945" i="5"/>
  <c r="X1948" i="5"/>
  <c r="R1948" i="5"/>
  <c r="X1971" i="5"/>
  <c r="R1971" i="5"/>
  <c r="AB1985" i="5"/>
  <c r="T1985" i="5"/>
  <c r="S1985" i="5"/>
  <c r="X2003" i="5"/>
  <c r="R2003" i="5"/>
  <c r="AB2017" i="5"/>
  <c r="T2017" i="5"/>
  <c r="S2017" i="5"/>
  <c r="T2049" i="5"/>
  <c r="S2049" i="5"/>
  <c r="AB2049" i="5"/>
  <c r="R2083" i="5"/>
  <c r="X2083" i="5"/>
  <c r="R2101" i="5"/>
  <c r="R2108" i="5"/>
  <c r="X2108" i="5"/>
  <c r="R2156" i="5"/>
  <c r="X2156" i="5"/>
  <c r="X2247" i="5"/>
  <c r="R2247" i="5"/>
  <c r="X2251" i="5"/>
  <c r="R2251" i="5"/>
  <c r="S1860" i="5"/>
  <c r="S1864" i="5"/>
  <c r="S1868" i="5"/>
  <c r="S1872" i="5"/>
  <c r="AB1881" i="5"/>
  <c r="AB1889" i="5"/>
  <c r="AB1897" i="5"/>
  <c r="AB1905" i="5"/>
  <c r="AB1908" i="5"/>
  <c r="AB1912" i="5"/>
  <c r="AB1916" i="5"/>
  <c r="AB1920" i="5"/>
  <c r="T1925" i="5"/>
  <c r="S1925" i="5"/>
  <c r="R1927" i="5"/>
  <c r="X1928" i="5"/>
  <c r="R1928" i="5"/>
  <c r="AB1945" i="5"/>
  <c r="X1959" i="5"/>
  <c r="AB1973" i="5"/>
  <c r="T1973" i="5"/>
  <c r="S1973" i="5"/>
  <c r="X1991" i="5"/>
  <c r="R1991" i="5"/>
  <c r="AB2005" i="5"/>
  <c r="T2005" i="5"/>
  <c r="S2005" i="5"/>
  <c r="X2023" i="5"/>
  <c r="R2023" i="5"/>
  <c r="AB2037" i="5"/>
  <c r="T2037" i="5"/>
  <c r="S2037" i="5"/>
  <c r="R2079" i="5"/>
  <c r="X2079" i="5"/>
  <c r="R2149" i="5"/>
  <c r="AB1876" i="5"/>
  <c r="AB1884" i="5"/>
  <c r="AB1892" i="5"/>
  <c r="T1898" i="5"/>
  <c r="AB1900" i="5"/>
  <c r="T1906" i="5"/>
  <c r="T1909" i="5"/>
  <c r="T1913" i="5"/>
  <c r="T1917" i="5"/>
  <c r="T1921" i="5"/>
  <c r="AB1925" i="5"/>
  <c r="AB1927" i="5"/>
  <c r="X1935" i="5"/>
  <c r="T1937" i="5"/>
  <c r="S1937" i="5"/>
  <c r="R1939" i="5"/>
  <c r="AB1946" i="5"/>
  <c r="AB1961" i="5"/>
  <c r="T1961" i="5"/>
  <c r="S1961" i="5"/>
  <c r="AB1974" i="5"/>
  <c r="X1979" i="5"/>
  <c r="R1979" i="5"/>
  <c r="AB1993" i="5"/>
  <c r="T1993" i="5"/>
  <c r="S1993" i="5"/>
  <c r="AB2006" i="5"/>
  <c r="X2011" i="5"/>
  <c r="R2011" i="5"/>
  <c r="AB2025" i="5"/>
  <c r="T2025" i="5"/>
  <c r="S2025" i="5"/>
  <c r="AB2038" i="5"/>
  <c r="R2089" i="5"/>
  <c r="R2096" i="5"/>
  <c r="X2096" i="5"/>
  <c r="R2105" i="5"/>
  <c r="R2112" i="5"/>
  <c r="X2112" i="5"/>
  <c r="AB2148" i="5"/>
  <c r="T1877" i="5"/>
  <c r="T1885" i="5"/>
  <c r="T1893" i="5"/>
  <c r="T1901" i="5"/>
  <c r="T1949" i="5"/>
  <c r="S1949" i="5"/>
  <c r="AB1981" i="5"/>
  <c r="T1981" i="5"/>
  <c r="S1981" i="5"/>
  <c r="X1999" i="5"/>
  <c r="R1999" i="5"/>
  <c r="AB2013" i="5"/>
  <c r="T2013" i="5"/>
  <c r="S2013" i="5"/>
  <c r="X2031" i="5"/>
  <c r="R2031" i="5"/>
  <c r="AB2045" i="5"/>
  <c r="T2045" i="5"/>
  <c r="S2045" i="5"/>
  <c r="R2056" i="5"/>
  <c r="R2064" i="5"/>
  <c r="AB2115" i="5"/>
  <c r="T2115" i="5"/>
  <c r="S2115" i="5"/>
  <c r="AB2118" i="5"/>
  <c r="T2118" i="5"/>
  <c r="S2118" i="5"/>
  <c r="AB2175" i="5"/>
  <c r="T2175" i="5"/>
  <c r="S2175" i="5"/>
  <c r="R2224" i="5"/>
  <c r="X2224" i="5"/>
  <c r="X1874" i="5"/>
  <c r="AB1874" i="5"/>
  <c r="R1878" i="5"/>
  <c r="X1882" i="5"/>
  <c r="AB1882" i="5"/>
  <c r="R1886" i="5"/>
  <c r="X1890" i="5"/>
  <c r="AB1890" i="5"/>
  <c r="R1894" i="5"/>
  <c r="X1898" i="5"/>
  <c r="R1902" i="5"/>
  <c r="X1906" i="5"/>
  <c r="AB1909" i="5"/>
  <c r="AB1913" i="5"/>
  <c r="AB1917" i="5"/>
  <c r="AB1921" i="5"/>
  <c r="X1927" i="5"/>
  <c r="T1929" i="5"/>
  <c r="S1929" i="5"/>
  <c r="X1932" i="5"/>
  <c r="R1932" i="5"/>
  <c r="AB1938" i="5"/>
  <c r="S1942" i="5"/>
  <c r="AB1949" i="5"/>
  <c r="AB1951" i="5"/>
  <c r="AB1969" i="5"/>
  <c r="T1969" i="5"/>
  <c r="S1969" i="5"/>
  <c r="AB1982" i="5"/>
  <c r="X1987" i="5"/>
  <c r="R1987" i="5"/>
  <c r="AB2001" i="5"/>
  <c r="T2001" i="5"/>
  <c r="S2001" i="5"/>
  <c r="AB2014" i="5"/>
  <c r="X2019" i="5"/>
  <c r="R2019" i="5"/>
  <c r="AB2033" i="5"/>
  <c r="T2033" i="5"/>
  <c r="S2033" i="5"/>
  <c r="AB2046" i="5"/>
  <c r="S2054" i="5"/>
  <c r="X2056" i="5"/>
  <c r="S2062" i="5"/>
  <c r="X2064" i="5"/>
  <c r="R2072" i="5"/>
  <c r="T2082" i="5"/>
  <c r="AB2082" i="5"/>
  <c r="S2082" i="5"/>
  <c r="R2093" i="5"/>
  <c r="R2109" i="5"/>
  <c r="T2142" i="5"/>
  <c r="S2142" i="5"/>
  <c r="AB2142" i="5"/>
  <c r="S2055" i="5"/>
  <c r="T2057" i="5"/>
  <c r="S2057" i="5"/>
  <c r="S2063" i="5"/>
  <c r="T2065" i="5"/>
  <c r="S2065" i="5"/>
  <c r="S2071" i="5"/>
  <c r="T2073" i="5"/>
  <c r="S2073" i="5"/>
  <c r="AB2079" i="5"/>
  <c r="R2121" i="5"/>
  <c r="R2152" i="5"/>
  <c r="X2152" i="5"/>
  <c r="AB2182" i="5"/>
  <c r="T2182" i="5"/>
  <c r="S2182" i="5"/>
  <c r="R2212" i="5"/>
  <c r="X2212" i="5"/>
  <c r="R2220" i="5"/>
  <c r="X2220" i="5"/>
  <c r="R1956" i="5"/>
  <c r="R1960" i="5"/>
  <c r="R1964" i="5"/>
  <c r="R1968" i="5"/>
  <c r="R1972" i="5"/>
  <c r="R1976" i="5"/>
  <c r="R1980" i="5"/>
  <c r="R1984" i="5"/>
  <c r="R1988" i="5"/>
  <c r="R1992" i="5"/>
  <c r="R1996" i="5"/>
  <c r="R2000" i="5"/>
  <c r="R2004" i="5"/>
  <c r="R2008" i="5"/>
  <c r="R2020" i="5"/>
  <c r="R2024" i="5"/>
  <c r="R2028" i="5"/>
  <c r="R2032" i="5"/>
  <c r="R2036" i="5"/>
  <c r="R2040" i="5"/>
  <c r="R2048" i="5"/>
  <c r="T2055" i="5"/>
  <c r="T2063" i="5"/>
  <c r="T2071" i="5"/>
  <c r="R2080" i="5"/>
  <c r="R2085" i="5"/>
  <c r="X2134" i="5"/>
  <c r="R2134" i="5"/>
  <c r="X2182" i="5"/>
  <c r="R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X1956" i="5"/>
  <c r="X1960" i="5"/>
  <c r="X1964" i="5"/>
  <c r="X1968" i="5"/>
  <c r="X1972" i="5"/>
  <c r="X1976" i="5"/>
  <c r="X1980" i="5"/>
  <c r="X1984" i="5"/>
  <c r="X1988" i="5"/>
  <c r="X1992" i="5"/>
  <c r="X1996" i="5"/>
  <c r="X2000" i="5"/>
  <c r="X2004" i="5"/>
  <c r="X2008" i="5"/>
  <c r="X2020" i="5"/>
  <c r="X2024" i="5"/>
  <c r="X2028" i="5"/>
  <c r="X2032" i="5"/>
  <c r="X2036" i="5"/>
  <c r="X2040" i="5"/>
  <c r="X2048" i="5"/>
  <c r="R2053" i="5"/>
  <c r="R2061" i="5"/>
  <c r="X2080" i="5"/>
  <c r="R2081" i="5"/>
  <c r="AB2086" i="5"/>
  <c r="T2087" i="5"/>
  <c r="T2170" i="5"/>
  <c r="S2170" i="5"/>
  <c r="AB2170" i="5"/>
  <c r="R2188" i="5"/>
  <c r="X2188" i="5"/>
  <c r="T2191" i="5"/>
  <c r="AB2191" i="5"/>
  <c r="S2191" i="5"/>
  <c r="T2286" i="5"/>
  <c r="AB2286" i="5"/>
  <c r="S2286" i="5"/>
  <c r="AB2050" i="5"/>
  <c r="T2053" i="5"/>
  <c r="S2053" i="5"/>
  <c r="AB2058" i="5"/>
  <c r="T2061" i="5"/>
  <c r="S2061" i="5"/>
  <c r="AB2066" i="5"/>
  <c r="T2069" i="5"/>
  <c r="S2069" i="5"/>
  <c r="AB2074" i="5"/>
  <c r="T2077" i="5"/>
  <c r="S2077" i="5"/>
  <c r="AB2147" i="5"/>
  <c r="T2147" i="5"/>
  <c r="S2147" i="5"/>
  <c r="X2170" i="5"/>
  <c r="R2170" i="5"/>
  <c r="T2174" i="5"/>
  <c r="S2174" i="5"/>
  <c r="AB2174" i="5"/>
  <c r="S2217" i="5"/>
  <c r="AB2217" i="5"/>
  <c r="T2217" i="5"/>
  <c r="R2268" i="5"/>
  <c r="X2268" i="5"/>
  <c r="AB2051" i="5"/>
  <c r="T2051" i="5"/>
  <c r="AB2059" i="5"/>
  <c r="T2059" i="5"/>
  <c r="AB2067" i="5"/>
  <c r="T2067" i="5"/>
  <c r="AB2075" i="5"/>
  <c r="T2075" i="5"/>
  <c r="R2153" i="5"/>
  <c r="R2193" i="5"/>
  <c r="T2126" i="5"/>
  <c r="S2126" i="5"/>
  <c r="AB2126" i="5"/>
  <c r="R2128" i="5"/>
  <c r="X2142" i="5"/>
  <c r="T2146" i="5"/>
  <c r="S2146" i="5"/>
  <c r="X2174" i="5"/>
  <c r="AB2178" i="5"/>
  <c r="T2178" i="5"/>
  <c r="S2178" i="5"/>
  <c r="R2201" i="5"/>
  <c r="AB2238" i="5"/>
  <c r="R2244" i="5"/>
  <c r="X2244" i="5"/>
  <c r="X2267" i="5"/>
  <c r="X2271" i="5"/>
  <c r="R2271" i="5"/>
  <c r="R2316" i="5"/>
  <c r="X2316" i="5"/>
  <c r="R2371" i="5"/>
  <c r="X2371" i="5"/>
  <c r="R2117" i="5"/>
  <c r="X2118" i="5"/>
  <c r="X2126" i="5"/>
  <c r="R2129" i="5"/>
  <c r="R2132" i="5"/>
  <c r="S2135" i="5"/>
  <c r="X2146" i="5"/>
  <c r="T2150" i="5"/>
  <c r="S2150" i="5"/>
  <c r="S2167" i="5"/>
  <c r="X2178" i="5"/>
  <c r="S2179" i="5"/>
  <c r="X2191" i="5"/>
  <c r="R2209" i="5"/>
  <c r="R2274" i="5"/>
  <c r="X2274" i="5"/>
  <c r="T2299" i="5"/>
  <c r="S2299" i="5"/>
  <c r="AB2299" i="5"/>
  <c r="S2081" i="5"/>
  <c r="S2085" i="5"/>
  <c r="S2089" i="5"/>
  <c r="S2093" i="5"/>
  <c r="S2097" i="5"/>
  <c r="S2101" i="5"/>
  <c r="S2105" i="5"/>
  <c r="S2109" i="5"/>
  <c r="S2113" i="5"/>
  <c r="S2117" i="5"/>
  <c r="T2122" i="5"/>
  <c r="S2122" i="5"/>
  <c r="AB2122" i="5"/>
  <c r="AB2132" i="5"/>
  <c r="S2139" i="5"/>
  <c r="X2150" i="5"/>
  <c r="T2154" i="5"/>
  <c r="S2154" i="5"/>
  <c r="AB2159" i="5"/>
  <c r="AB2164" i="5"/>
  <c r="S2171" i="5"/>
  <c r="AB2190" i="5"/>
  <c r="T2190" i="5"/>
  <c r="S2190" i="5"/>
  <c r="S2196" i="5"/>
  <c r="R2217" i="5"/>
  <c r="AB2227" i="5"/>
  <c r="T2227" i="5"/>
  <c r="S2227" i="5"/>
  <c r="R2228" i="5"/>
  <c r="X2228" i="5"/>
  <c r="R2248" i="5"/>
  <c r="X2248" i="5"/>
  <c r="R2267" i="5"/>
  <c r="X2311" i="5"/>
  <c r="R2311" i="5"/>
  <c r="R2358" i="5"/>
  <c r="X2358" i="5"/>
  <c r="AB2119" i="5"/>
  <c r="S2119" i="5"/>
  <c r="S2120" i="5"/>
  <c r="X2122" i="5"/>
  <c r="AB2123" i="5"/>
  <c r="AB2124" i="5"/>
  <c r="X2128" i="5"/>
  <c r="AB2131" i="5"/>
  <c r="AB2136" i="5"/>
  <c r="R2137" i="5"/>
  <c r="T2158" i="5"/>
  <c r="S2158" i="5"/>
  <c r="AB2163" i="5"/>
  <c r="AB2168" i="5"/>
  <c r="R2169" i="5"/>
  <c r="AB2183" i="5"/>
  <c r="X2190" i="5"/>
  <c r="S2193" i="5"/>
  <c r="AB2193" i="5"/>
  <c r="T2196" i="5"/>
  <c r="S2204" i="5"/>
  <c r="AB2220" i="5"/>
  <c r="AB2242" i="5"/>
  <c r="AB2281" i="5"/>
  <c r="S2312" i="5"/>
  <c r="T2312" i="5"/>
  <c r="AB2312" i="5"/>
  <c r="T2130" i="5"/>
  <c r="S2130" i="5"/>
  <c r="AB2135" i="5"/>
  <c r="AB2140" i="5"/>
  <c r="R2141" i="5"/>
  <c r="X2158" i="5"/>
  <c r="T2162" i="5"/>
  <c r="S2162" i="5"/>
  <c r="AB2167" i="5"/>
  <c r="AB2172" i="5"/>
  <c r="R2173" i="5"/>
  <c r="AB2186" i="5"/>
  <c r="T2186" i="5"/>
  <c r="S2186" i="5"/>
  <c r="X2195" i="5"/>
  <c r="R2195" i="5"/>
  <c r="R2196" i="5"/>
  <c r="X2196" i="5"/>
  <c r="S2201" i="5"/>
  <c r="AB2201" i="5"/>
  <c r="X2227" i="5"/>
  <c r="R2227" i="5"/>
  <c r="X2243" i="5"/>
  <c r="AB2255" i="5"/>
  <c r="T2255" i="5"/>
  <c r="S2255" i="5"/>
  <c r="AB2259" i="5"/>
  <c r="T2259" i="5"/>
  <c r="S2259" i="5"/>
  <c r="AB2266" i="5"/>
  <c r="AB2270" i="5"/>
  <c r="AB2304" i="5"/>
  <c r="AB2120" i="5"/>
  <c r="R2125" i="5"/>
  <c r="X2130" i="5"/>
  <c r="T2134" i="5"/>
  <c r="S2134" i="5"/>
  <c r="AB2139" i="5"/>
  <c r="AB2144" i="5"/>
  <c r="R2145" i="5"/>
  <c r="X2162" i="5"/>
  <c r="T2166" i="5"/>
  <c r="S2166" i="5"/>
  <c r="AB2171" i="5"/>
  <c r="AB2176" i="5"/>
  <c r="AB2179" i="5"/>
  <c r="X2186" i="5"/>
  <c r="X2203" i="5"/>
  <c r="R2203" i="5"/>
  <c r="R2204" i="5"/>
  <c r="X2204" i="5"/>
  <c r="S2209" i="5"/>
  <c r="AB2209" i="5"/>
  <c r="X2223" i="5"/>
  <c r="AB2234" i="5"/>
  <c r="X2239" i="5"/>
  <c r="R2240" i="5"/>
  <c r="X2240" i="5"/>
  <c r="AB2276" i="5"/>
  <c r="T2276" i="5"/>
  <c r="S2276" i="5"/>
  <c r="R2285" i="5"/>
  <c r="AB2199" i="5"/>
  <c r="T2199" i="5"/>
  <c r="X2199" i="5"/>
  <c r="AB2207" i="5"/>
  <c r="T2207" i="5"/>
  <c r="X2207" i="5"/>
  <c r="AB2215" i="5"/>
  <c r="T2215" i="5"/>
  <c r="AB2223" i="5"/>
  <c r="T2223" i="5"/>
  <c r="AB2228" i="5"/>
  <c r="AB2251" i="5"/>
  <c r="T2251" i="5"/>
  <c r="X2252" i="5"/>
  <c r="AB2262" i="5"/>
  <c r="T2303" i="5"/>
  <c r="AB2303" i="5"/>
  <c r="S2303" i="5"/>
  <c r="R2354" i="5"/>
  <c r="X2354" i="5"/>
  <c r="R2177" i="5"/>
  <c r="R2185" i="5"/>
  <c r="R2189" i="5"/>
  <c r="S2192" i="5"/>
  <c r="T2197" i="5"/>
  <c r="S2200" i="5"/>
  <c r="T2205" i="5"/>
  <c r="S2208" i="5"/>
  <c r="T2213" i="5"/>
  <c r="S2216" i="5"/>
  <c r="T2221" i="5"/>
  <c r="T2229" i="5"/>
  <c r="S2229" i="5"/>
  <c r="R2236" i="5"/>
  <c r="AB2247" i="5"/>
  <c r="T2247" i="5"/>
  <c r="AB2258" i="5"/>
  <c r="R2264" i="5"/>
  <c r="X2280" i="5"/>
  <c r="X2291" i="5"/>
  <c r="R2291" i="5"/>
  <c r="X2307" i="5"/>
  <c r="R2312" i="5"/>
  <c r="X2312" i="5"/>
  <c r="X2322" i="5"/>
  <c r="R2322" i="5"/>
  <c r="R2349" i="5"/>
  <c r="R2194" i="5"/>
  <c r="X2194" i="5"/>
  <c r="R2202" i="5"/>
  <c r="X2202" i="5"/>
  <c r="R2210" i="5"/>
  <c r="X2210" i="5"/>
  <c r="R2218" i="5"/>
  <c r="AB2224" i="5"/>
  <c r="AB2231" i="5"/>
  <c r="T2231" i="5"/>
  <c r="AB2243" i="5"/>
  <c r="T2243" i="5"/>
  <c r="AB2254" i="5"/>
  <c r="R2260" i="5"/>
  <c r="AB2269" i="5"/>
  <c r="AB2285" i="5"/>
  <c r="X2295" i="5"/>
  <c r="R2295" i="5"/>
  <c r="X2299" i="5"/>
  <c r="R2299" i="5"/>
  <c r="R2307" i="5"/>
  <c r="T2225" i="5"/>
  <c r="S2225" i="5"/>
  <c r="X2236" i="5"/>
  <c r="AB2239" i="5"/>
  <c r="T2239" i="5"/>
  <c r="AB2250" i="5"/>
  <c r="R2256" i="5"/>
  <c r="X2286" i="5"/>
  <c r="R2286" i="5"/>
  <c r="AB2344" i="5"/>
  <c r="T2344" i="5"/>
  <c r="S2344" i="5"/>
  <c r="R2368" i="5"/>
  <c r="X2368" i="5"/>
  <c r="AB2384" i="5"/>
  <c r="T2384" i="5"/>
  <c r="S2384" i="5"/>
  <c r="AB2195" i="5"/>
  <c r="T2195" i="5"/>
  <c r="AB2203" i="5"/>
  <c r="T2203" i="5"/>
  <c r="AB2211" i="5"/>
  <c r="T2211" i="5"/>
  <c r="AB2219" i="5"/>
  <c r="T2219" i="5"/>
  <c r="AB2230" i="5"/>
  <c r="T2233" i="5"/>
  <c r="S2233" i="5"/>
  <c r="AB2235" i="5"/>
  <c r="T2235" i="5"/>
  <c r="AB2246" i="5"/>
  <c r="R2252" i="5"/>
  <c r="X2255" i="5"/>
  <c r="AB2267" i="5"/>
  <c r="T2267" i="5"/>
  <c r="R2280" i="5"/>
  <c r="T2311" i="5"/>
  <c r="AB2311" i="5"/>
  <c r="S2311" i="5"/>
  <c r="R2341" i="5"/>
  <c r="X2348" i="5"/>
  <c r="R2348" i="5"/>
  <c r="AB2263" i="5"/>
  <c r="T2263" i="5"/>
  <c r="R2277" i="5"/>
  <c r="R2288" i="5"/>
  <c r="X2288" i="5"/>
  <c r="S2304" i="5"/>
  <c r="T2304" i="5"/>
  <c r="R2320" i="5"/>
  <c r="X2320" i="5"/>
  <c r="T2278" i="5"/>
  <c r="AB2278" i="5"/>
  <c r="R2305" i="5"/>
  <c r="AB2315" i="5"/>
  <c r="AB2320" i="5"/>
  <c r="S2320" i="5"/>
  <c r="AB2328" i="5"/>
  <c r="AB2332" i="5"/>
  <c r="T2332" i="5"/>
  <c r="X2340" i="5"/>
  <c r="R2313" i="5"/>
  <c r="T2323" i="5"/>
  <c r="AB2323" i="5"/>
  <c r="AB2366" i="5"/>
  <c r="S2366" i="5"/>
  <c r="S2271" i="5"/>
  <c r="S2273" i="5"/>
  <c r="T2279" i="5"/>
  <c r="S2284" i="5"/>
  <c r="X2306" i="5"/>
  <c r="R2306" i="5"/>
  <c r="T2319" i="5"/>
  <c r="S2319" i="5"/>
  <c r="AB2348" i="5"/>
  <c r="T2348" i="5"/>
  <c r="R2360" i="5"/>
  <c r="X2360" i="5"/>
  <c r="R2374" i="5"/>
  <c r="X2374" i="5"/>
  <c r="AB2411" i="5"/>
  <c r="T2411" i="5"/>
  <c r="S2411" i="5"/>
  <c r="AB2424" i="5"/>
  <c r="S2237" i="5"/>
  <c r="S2241" i="5"/>
  <c r="S2245" i="5"/>
  <c r="S2249" i="5"/>
  <c r="S2253" i="5"/>
  <c r="S2257" i="5"/>
  <c r="S2261" i="5"/>
  <c r="S2265" i="5"/>
  <c r="R2282" i="5"/>
  <c r="S2287" i="5"/>
  <c r="R2297" i="5"/>
  <c r="R2309" i="5"/>
  <c r="X2314" i="5"/>
  <c r="R2314" i="5"/>
  <c r="AB2331" i="5"/>
  <c r="T2331" i="5"/>
  <c r="R2337" i="5"/>
  <c r="S2388" i="5"/>
  <c r="T2388" i="5"/>
  <c r="S2268" i="5"/>
  <c r="S2275" i="5"/>
  <c r="S2282" i="5"/>
  <c r="T2287" i="5"/>
  <c r="X2302" i="5"/>
  <c r="R2302" i="5"/>
  <c r="X2308" i="5"/>
  <c r="AB2340" i="5"/>
  <c r="T2340" i="5"/>
  <c r="S2340" i="5"/>
  <c r="AB2343" i="5"/>
  <c r="T2366" i="5"/>
  <c r="AB2383" i="5"/>
  <c r="S2383" i="5"/>
  <c r="T2383" i="5"/>
  <c r="AB2271" i="5"/>
  <c r="AB2284" i="5"/>
  <c r="X2294" i="5"/>
  <c r="R2294" i="5"/>
  <c r="X2303" i="5"/>
  <c r="R2303" i="5"/>
  <c r="S2316" i="5"/>
  <c r="R2321" i="5"/>
  <c r="R2325" i="5"/>
  <c r="R2329" i="5"/>
  <c r="R2333" i="5"/>
  <c r="S2348" i="5"/>
  <c r="R2376" i="5"/>
  <c r="X2376" i="5"/>
  <c r="AB2336" i="5"/>
  <c r="T2336" i="5"/>
  <c r="AB2347" i="5"/>
  <c r="AB2353" i="5"/>
  <c r="T2353" i="5"/>
  <c r="S2359" i="5"/>
  <c r="AB2359" i="5"/>
  <c r="S2364" i="5"/>
  <c r="AB2364" i="5"/>
  <c r="S2375" i="5"/>
  <c r="AB2375" i="5"/>
  <c r="T2382" i="5"/>
  <c r="AB2382" i="5"/>
  <c r="S2382" i="5"/>
  <c r="R2437" i="5"/>
  <c r="AB2327" i="5"/>
  <c r="T2327" i="5"/>
  <c r="AB2335" i="5"/>
  <c r="R2345" i="5"/>
  <c r="AB2352" i="5"/>
  <c r="AB2358" i="5"/>
  <c r="S2358" i="5"/>
  <c r="R2366" i="5"/>
  <c r="X2366" i="5"/>
  <c r="AB2374" i="5"/>
  <c r="S2374" i="5"/>
  <c r="X2379" i="5"/>
  <c r="T2394" i="5"/>
  <c r="AB2394" i="5"/>
  <c r="S2394" i="5"/>
  <c r="R2400" i="5"/>
  <c r="X2400" i="5"/>
  <c r="AB2428" i="5"/>
  <c r="S2367" i="5"/>
  <c r="AB2367" i="5"/>
  <c r="S2372" i="5"/>
  <c r="AB2372" i="5"/>
  <c r="AB2356" i="5"/>
  <c r="T2356" i="5"/>
  <c r="R2379" i="5"/>
  <c r="AB2399" i="5"/>
  <c r="S2399" i="5"/>
  <c r="T2399" i="5"/>
  <c r="AB2361" i="5"/>
  <c r="T2361" i="5"/>
  <c r="AB2369" i="5"/>
  <c r="T2369" i="5"/>
  <c r="AB2377" i="5"/>
  <c r="T2377" i="5"/>
  <c r="X2388" i="5"/>
  <c r="T2390" i="5"/>
  <c r="AB2390" i="5"/>
  <c r="S2390" i="5"/>
  <c r="X2394" i="5"/>
  <c r="R2394" i="5"/>
  <c r="AB2416" i="5"/>
  <c r="T2380" i="5"/>
  <c r="AB2404" i="5"/>
  <c r="R2420" i="5"/>
  <c r="X2420" i="5"/>
  <c r="R2445" i="5"/>
  <c r="R2460" i="5"/>
  <c r="X2460" i="5"/>
  <c r="AB2490" i="5"/>
  <c r="T2490" i="5"/>
  <c r="S2490" i="5"/>
  <c r="T2500" i="5"/>
  <c r="S2500" i="5"/>
  <c r="R2326" i="5"/>
  <c r="T2335" i="5"/>
  <c r="R2338" i="5"/>
  <c r="T2339" i="5"/>
  <c r="R2342" i="5"/>
  <c r="T2343" i="5"/>
  <c r="R2346" i="5"/>
  <c r="T2347" i="5"/>
  <c r="R2350" i="5"/>
  <c r="AB2362" i="5"/>
  <c r="T2362" i="5"/>
  <c r="AB2370" i="5"/>
  <c r="T2370" i="5"/>
  <c r="AB2378" i="5"/>
  <c r="T2378" i="5"/>
  <c r="X2395" i="5"/>
  <c r="R2412" i="5"/>
  <c r="R2498" i="5"/>
  <c r="S2357" i="5"/>
  <c r="AB2380" i="5"/>
  <c r="R2381" i="5"/>
  <c r="AB2400" i="5"/>
  <c r="AB2351" i="5"/>
  <c r="T2357" i="5"/>
  <c r="AB2365" i="5"/>
  <c r="T2365" i="5"/>
  <c r="AB2373" i="5"/>
  <c r="T2373" i="5"/>
  <c r="R2388" i="5"/>
  <c r="R2401" i="5"/>
  <c r="R2408" i="5"/>
  <c r="X2408" i="5"/>
  <c r="R2413" i="5"/>
  <c r="AB2423" i="5"/>
  <c r="T2423" i="5"/>
  <c r="S2423" i="5"/>
  <c r="R2449" i="5"/>
  <c r="T2360" i="5"/>
  <c r="T2363" i="5"/>
  <c r="T2368" i="5"/>
  <c r="T2371" i="5"/>
  <c r="T2376" i="5"/>
  <c r="T2379" i="5"/>
  <c r="S2386" i="5"/>
  <c r="S2387" i="5"/>
  <c r="R2389" i="5"/>
  <c r="AB2392" i="5"/>
  <c r="S2398" i="5"/>
  <c r="R2421" i="5"/>
  <c r="AB2455" i="5"/>
  <c r="T2455" i="5"/>
  <c r="S2455" i="5"/>
  <c r="R2475" i="5"/>
  <c r="X2475" i="5"/>
  <c r="T2479" i="5"/>
  <c r="S2479" i="5"/>
  <c r="AB2479" i="5"/>
  <c r="T2402" i="5"/>
  <c r="S2402" i="5"/>
  <c r="AB2407" i="5"/>
  <c r="AB2408" i="5"/>
  <c r="AB2415" i="5"/>
  <c r="T2415" i="5"/>
  <c r="R2425" i="5"/>
  <c r="AB2444" i="5"/>
  <c r="T2444" i="5"/>
  <c r="S2444" i="5"/>
  <c r="AB2468" i="5"/>
  <c r="T2468" i="5"/>
  <c r="S2468" i="5"/>
  <c r="R2473" i="5"/>
  <c r="T2406" i="5"/>
  <c r="S2406" i="5"/>
  <c r="AB2420" i="5"/>
  <c r="AB2427" i="5"/>
  <c r="T2427" i="5"/>
  <c r="S2453" i="5"/>
  <c r="AB2453" i="5"/>
  <c r="T2453" i="5"/>
  <c r="X2456" i="5"/>
  <c r="R2456" i="5"/>
  <c r="R2476" i="5"/>
  <c r="X2476" i="5"/>
  <c r="AB2487" i="5"/>
  <c r="T2487" i="5"/>
  <c r="S2487" i="5"/>
  <c r="T2496" i="5"/>
  <c r="S2496" i="5"/>
  <c r="X2382" i="5"/>
  <c r="X2390" i="5"/>
  <c r="AB2432" i="5"/>
  <c r="X2482" i="5"/>
  <c r="R2482" i="5"/>
  <c r="AB2391" i="5"/>
  <c r="T2391" i="5"/>
  <c r="AB2412" i="5"/>
  <c r="X2412" i="5"/>
  <c r="AB2419" i="5"/>
  <c r="T2419" i="5"/>
  <c r="R2429" i="5"/>
  <c r="S2437" i="5"/>
  <c r="AB2437" i="5"/>
  <c r="R2447" i="5"/>
  <c r="X2447" i="5"/>
  <c r="T2485" i="5"/>
  <c r="AB2485" i="5"/>
  <c r="S2485" i="5"/>
  <c r="AB2431" i="5"/>
  <c r="T2431" i="5"/>
  <c r="R2436" i="5"/>
  <c r="S2441" i="5"/>
  <c r="T2441" i="5"/>
  <c r="AB2441" i="5"/>
  <c r="R2502" i="5"/>
  <c r="T2435" i="5"/>
  <c r="X2464" i="5"/>
  <c r="T2493" i="5"/>
  <c r="S2493" i="5"/>
  <c r="S2410" i="5"/>
  <c r="S2414" i="5"/>
  <c r="S2418" i="5"/>
  <c r="S2422" i="5"/>
  <c r="S2426" i="5"/>
  <c r="S2430" i="5"/>
  <c r="T2433" i="5"/>
  <c r="R2438" i="5"/>
  <c r="AB2449" i="5"/>
  <c r="R2451" i="5"/>
  <c r="R2457" i="5"/>
  <c r="AB2478" i="5"/>
  <c r="T2478" i="5"/>
  <c r="S2478" i="5"/>
  <c r="T2481" i="5"/>
  <c r="AB2481" i="5"/>
  <c r="R2493" i="5"/>
  <c r="T2497" i="5"/>
  <c r="S2497" i="5"/>
  <c r="F22" i="6"/>
  <c r="B22" i="6"/>
  <c r="F27" i="6"/>
  <c r="X2438" i="5"/>
  <c r="AB2460" i="5"/>
  <c r="R2497" i="5"/>
  <c r="T2501" i="5"/>
  <c r="S2501" i="5"/>
  <c r="F64" i="6"/>
  <c r="G5" i="6"/>
  <c r="H5" i="6"/>
  <c r="D5" i="6"/>
  <c r="X2442" i="5"/>
  <c r="X2472" i="5"/>
  <c r="S2476" i="5"/>
  <c r="AB2486" i="5"/>
  <c r="T2486" i="5"/>
  <c r="S2486" i="5"/>
  <c r="T2489" i="5"/>
  <c r="S2489" i="5"/>
  <c r="R2501" i="5"/>
  <c r="AB2433" i="5"/>
  <c r="X2462" i="5"/>
  <c r="R2462" i="5"/>
  <c r="R2464" i="5"/>
  <c r="R2465" i="5"/>
  <c r="T2476" i="5"/>
  <c r="R2483" i="5"/>
  <c r="X2483" i="5"/>
  <c r="R2489" i="5"/>
  <c r="G17" i="6"/>
  <c r="H17" i="6"/>
  <c r="AB2443" i="5"/>
  <c r="S2443" i="5"/>
  <c r="S2450" i="5"/>
  <c r="S2452" i="5"/>
  <c r="T2495" i="5"/>
  <c r="S2495" i="5"/>
  <c r="T2499" i="5"/>
  <c r="S2499" i="5"/>
  <c r="T2503" i="5"/>
  <c r="S2503" i="5"/>
  <c r="D9" i="6"/>
  <c r="G15" i="6"/>
  <c r="H15" i="6"/>
  <c r="B20" i="6"/>
  <c r="F25" i="6"/>
  <c r="AB2447" i="5"/>
  <c r="S2447" i="5"/>
  <c r="X2458" i="5"/>
  <c r="AB2458" i="5"/>
  <c r="X2466" i="5"/>
  <c r="AB2466" i="5"/>
  <c r="X2474" i="5"/>
  <c r="AB2474" i="5"/>
  <c r="T2494" i="5"/>
  <c r="S2494" i="5"/>
  <c r="R2495" i="5"/>
  <c r="T2498" i="5"/>
  <c r="S2498" i="5"/>
  <c r="R2499" i="5"/>
  <c r="T2502" i="5"/>
  <c r="S2502" i="5"/>
  <c r="R2503" i="5"/>
  <c r="AB2459" i="5"/>
  <c r="T2459" i="5"/>
  <c r="AB2467" i="5"/>
  <c r="T2467" i="5"/>
  <c r="AB2475" i="5"/>
  <c r="T2475" i="5"/>
  <c r="R2488" i="5"/>
  <c r="AB2491" i="5"/>
  <c r="R2492" i="5"/>
  <c r="S2504" i="5"/>
  <c r="S2477" i="5"/>
  <c r="AB2482" i="5"/>
  <c r="T2482" i="5"/>
  <c r="X2484" i="5"/>
  <c r="T2504" i="5"/>
  <c r="B21" i="6"/>
  <c r="B51" i="6"/>
  <c r="G51" i="6"/>
  <c r="G16" i="6"/>
  <c r="H16" i="6"/>
  <c r="A38" i="2"/>
  <c r="J4" i="5"/>
  <c r="B41" i="4"/>
  <c r="A27" i="6" s="1"/>
  <c r="A55" i="2"/>
  <c r="A73" i="2"/>
  <c r="B9" i="3"/>
  <c r="A3" i="2"/>
  <c r="A20" i="2"/>
  <c r="B17" i="3"/>
  <c r="B29" i="4"/>
  <c r="A17" i="6"/>
  <c r="B25" i="3"/>
  <c r="C20" i="3"/>
  <c r="A75" i="2"/>
  <c r="C25" i="3"/>
  <c r="N4" i="5"/>
  <c r="A43" i="2"/>
  <c r="C3" i="3"/>
  <c r="C19" i="3"/>
  <c r="P4" i="5"/>
  <c r="A45" i="2"/>
  <c r="C4" i="3"/>
  <c r="B26" i="4"/>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s="1"/>
  <c r="A17" i="2"/>
  <c r="A34" i="2"/>
  <c r="A52" i="2"/>
  <c r="A70" i="2"/>
  <c r="C7" i="3"/>
  <c r="C15" i="3"/>
  <c r="C23" i="3"/>
  <c r="C31" i="3"/>
  <c r="B15" i="4"/>
  <c r="A7" i="6" s="1"/>
  <c r="B28" i="4"/>
  <c r="A16" i="6" s="1"/>
  <c r="B40" i="4"/>
  <c r="B52" i="4"/>
  <c r="A36" i="6" s="1"/>
  <c r="F4" i="5"/>
  <c r="A2" i="2"/>
  <c r="A19" i="2"/>
  <c r="A37" i="2"/>
  <c r="A54" i="2"/>
  <c r="A72" i="2"/>
  <c r="C8" i="3"/>
  <c r="C16" i="3"/>
  <c r="C24" i="3"/>
  <c r="D2" i="4"/>
  <c r="B17" i="4"/>
  <c r="A9" i="6" s="1"/>
  <c r="H4" i="5"/>
  <c r="J14" i="6"/>
  <c r="J15" i="6"/>
  <c r="J16" i="6"/>
  <c r="I16" i="6"/>
  <c r="C16" i="6"/>
  <c r="J17" i="6"/>
  <c r="J25" i="6"/>
  <c r="I26" i="6"/>
  <c r="J37" i="6"/>
  <c r="J45" i="6"/>
  <c r="I46" i="6"/>
  <c r="C46" i="6" s="1"/>
  <c r="I54" i="6"/>
  <c r="J63" i="6"/>
  <c r="J64" i="6"/>
  <c r="J66" i="6"/>
  <c r="I67" i="6"/>
  <c r="A1" i="8"/>
  <c r="I19" i="6"/>
  <c r="J26" i="6"/>
  <c r="F26" i="6"/>
  <c r="B26" i="6"/>
  <c r="G26" i="6"/>
  <c r="H26" i="6"/>
  <c r="C26" i="6"/>
  <c r="I27" i="6"/>
  <c r="I39" i="6"/>
  <c r="J46" i="6"/>
  <c r="F46" i="6"/>
  <c r="B46" i="6"/>
  <c r="G46" i="6"/>
  <c r="H46" i="6"/>
  <c r="I47" i="6"/>
  <c r="J54" i="6"/>
  <c r="I55" i="6"/>
  <c r="I56" i="6"/>
  <c r="L65" i="6"/>
  <c r="J67" i="6"/>
  <c r="F67" i="6"/>
  <c r="AB7" i="5"/>
  <c r="AB8" i="5"/>
  <c r="AB9" i="5"/>
  <c r="AB10" i="5"/>
  <c r="AB11" i="5"/>
  <c r="AB12" i="5"/>
  <c r="AB13" i="5"/>
  <c r="AB14" i="5"/>
  <c r="AB15" i="5"/>
  <c r="AB16" i="5"/>
  <c r="AB17" i="5"/>
  <c r="G67" i="6"/>
  <c r="H67" i="6"/>
  <c r="C67" i="6"/>
  <c r="I68" i="6"/>
  <c r="I69" i="6"/>
  <c r="A4" i="8"/>
  <c r="A23" i="2"/>
  <c r="A40" i="2"/>
  <c r="A49" i="2"/>
  <c r="A65" i="2"/>
  <c r="B2" i="3"/>
  <c r="B6" i="3"/>
  <c r="B10" i="3"/>
  <c r="B14" i="3"/>
  <c r="B22" i="3"/>
  <c r="B26" i="3"/>
  <c r="B30" i="3"/>
  <c r="I4" i="4"/>
  <c r="B12" i="4"/>
  <c r="B20" i="4"/>
  <c r="A11" i="6" s="1"/>
  <c r="B45" i="4"/>
  <c r="A30" i="6"/>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8" i="4" s="1"/>
  <c r="A49" i="6" s="1"/>
  <c r="L4" i="5"/>
  <c r="A8" i="2"/>
  <c r="A16" i="2"/>
  <c r="A25" i="2"/>
  <c r="A33" i="2"/>
  <c r="A42" i="2"/>
  <c r="A51" i="2"/>
  <c r="A59" i="2"/>
  <c r="A68" i="2"/>
  <c r="B3" i="3"/>
  <c r="B7" i="3"/>
  <c r="B11" i="3"/>
  <c r="B15" i="3"/>
  <c r="B19" i="3"/>
  <c r="B23" i="3"/>
  <c r="B27" i="3"/>
  <c r="B31" i="3"/>
  <c r="B6" i="4"/>
  <c r="B14" i="4"/>
  <c r="B22" i="4"/>
  <c r="A12" i="6"/>
  <c r="B46" i="4"/>
  <c r="A31" i="6" s="1"/>
  <c r="A91" i="4"/>
  <c r="B2" i="5"/>
  <c r="M4" i="5"/>
  <c r="B3" i="6"/>
  <c r="J20" i="6"/>
  <c r="I21" i="6"/>
  <c r="C21" i="6" s="1"/>
  <c r="J29" i="6"/>
  <c r="J30" i="6"/>
  <c r="J31" i="6"/>
  <c r="F31" i="6"/>
  <c r="B31" i="6"/>
  <c r="G31" i="6"/>
  <c r="H31" i="6"/>
  <c r="C31" i="6"/>
  <c r="J32" i="6"/>
  <c r="J40" i="6"/>
  <c r="I41" i="6"/>
  <c r="C41" i="6" s="1"/>
  <c r="I49" i="6"/>
  <c r="C49" i="6" s="1"/>
  <c r="J57" i="6"/>
  <c r="I58" i="6"/>
  <c r="L67" i="6"/>
  <c r="A1" i="7"/>
  <c r="D4" i="8"/>
  <c r="C3" i="6"/>
  <c r="I4" i="6"/>
  <c r="I5" i="6"/>
  <c r="C5" i="6" s="1"/>
  <c r="J21" i="6"/>
  <c r="G21" i="6"/>
  <c r="H21" i="6"/>
  <c r="I22" i="6"/>
  <c r="I34" i="6"/>
  <c r="J41" i="6"/>
  <c r="F41" i="6"/>
  <c r="B41" i="6"/>
  <c r="G41" i="6"/>
  <c r="H41" i="6"/>
  <c r="I42" i="6"/>
  <c r="J49" i="6"/>
  <c r="I50" i="6"/>
  <c r="C50" i="6" s="1"/>
  <c r="J58" i="6"/>
  <c r="I59" i="6"/>
  <c r="L68" i="6"/>
  <c r="B5" i="7"/>
  <c r="G4" i="8"/>
  <c r="A1" i="2"/>
  <c r="A10" i="2"/>
  <c r="A18" i="2"/>
  <c r="A27" i="2"/>
  <c r="A35" i="2"/>
  <c r="A44" i="2"/>
  <c r="A53" i="2"/>
  <c r="A61" i="2"/>
  <c r="A71" i="2"/>
  <c r="B4" i="3"/>
  <c r="B8" i="3"/>
  <c r="B12" i="3"/>
  <c r="B16" i="3"/>
  <c r="B20" i="3"/>
  <c r="B24" i="3"/>
  <c r="B28" i="3"/>
  <c r="B32" i="3"/>
  <c r="B8" i="4"/>
  <c r="A4" i="6"/>
  <c r="B16" i="4"/>
  <c r="A8" i="6" s="1"/>
  <c r="B25" i="4"/>
  <c r="A13" i="6"/>
  <c r="B47" i="4"/>
  <c r="A32" i="6"/>
  <c r="B74" i="4"/>
  <c r="A53" i="6"/>
  <c r="B3" i="5"/>
  <c r="G4" i="5"/>
  <c r="O4" i="5"/>
  <c r="A1" i="6"/>
  <c r="D3" i="6"/>
  <c r="J4" i="6"/>
  <c r="J5" i="6"/>
  <c r="I6" i="6"/>
  <c r="I7" i="6"/>
  <c r="I8" i="6"/>
  <c r="I9" i="6"/>
  <c r="I10" i="6"/>
  <c r="I11" i="6"/>
  <c r="I12" i="6"/>
  <c r="J22" i="6"/>
  <c r="J34" i="6"/>
  <c r="I35" i="6"/>
  <c r="J42" i="6"/>
  <c r="J50" i="6"/>
  <c r="I51" i="6"/>
  <c r="C51" i="6" s="1"/>
  <c r="J59" i="6"/>
  <c r="I60" i="6"/>
  <c r="C5" i="7"/>
  <c r="D1" i="6"/>
  <c r="J6" i="6"/>
  <c r="J7" i="6"/>
  <c r="J8" i="6"/>
  <c r="J9" i="6"/>
  <c r="J10" i="6"/>
  <c r="J11" i="6"/>
  <c r="J12" i="6"/>
  <c r="I24" i="6"/>
  <c r="C24" i="6" s="1"/>
  <c r="J35" i="6"/>
  <c r="I36" i="6"/>
  <c r="I44" i="6"/>
  <c r="J51" i="6"/>
  <c r="F51" i="6"/>
  <c r="H51" i="6"/>
  <c r="I52" i="6"/>
  <c r="C52" i="6" s="1"/>
  <c r="J60" i="6"/>
  <c r="I62" i="6"/>
  <c r="I65" i="6"/>
  <c r="C65" i="6" s="1"/>
  <c r="D5" i="7"/>
  <c r="B10" i="4"/>
  <c r="A6" i="6"/>
  <c r="B18" i="4"/>
  <c r="A10" i="6"/>
  <c r="G25" i="4"/>
  <c r="G43" i="4" s="1"/>
  <c r="B49" i="4"/>
  <c r="A33" i="6"/>
  <c r="A4" i="5"/>
  <c r="I4" i="5"/>
  <c r="I14" i="6"/>
  <c r="I15" i="6"/>
  <c r="C15" i="6" s="1"/>
  <c r="I17" i="6"/>
  <c r="J24" i="6"/>
  <c r="I25" i="6"/>
  <c r="J36" i="6"/>
  <c r="F36" i="6"/>
  <c r="B36" i="6"/>
  <c r="G36" i="6"/>
  <c r="H36" i="6"/>
  <c r="C36" i="6"/>
  <c r="I37" i="6"/>
  <c r="J44" i="6"/>
  <c r="I45" i="6"/>
  <c r="C45" i="6" s="1"/>
  <c r="J52" i="6"/>
  <c r="J62" i="6"/>
  <c r="I63" i="6"/>
  <c r="I64" i="6"/>
  <c r="J65" i="6"/>
  <c r="I66" i="6"/>
  <c r="B56" i="1"/>
  <c r="F4" i="8"/>
  <c r="H4" i="8"/>
  <c r="I4" i="8"/>
  <c r="C4" i="8"/>
  <c r="E4" i="8"/>
  <c r="S94" i="5"/>
  <c r="T262" i="5"/>
  <c r="S150" i="5"/>
  <c r="S491" i="5"/>
  <c r="T373" i="5"/>
  <c r="T27" i="5"/>
  <c r="T337" i="5"/>
  <c r="T437" i="5"/>
  <c r="T349" i="5"/>
  <c r="T433" i="5"/>
  <c r="T179" i="5"/>
  <c r="S511" i="5"/>
  <c r="S147" i="5"/>
  <c r="T158" i="5"/>
  <c r="T193" i="5"/>
  <c r="S35" i="5"/>
  <c r="S193" i="5"/>
  <c r="S203" i="5"/>
  <c r="T182" i="5"/>
  <c r="T165" i="5"/>
  <c r="T213" i="5"/>
  <c r="T384" i="5"/>
  <c r="T25" i="5"/>
  <c r="T41" i="5"/>
  <c r="T84" i="5"/>
  <c r="T123" i="5"/>
  <c r="T250" i="5"/>
  <c r="T44" i="5"/>
  <c r="T61" i="5"/>
  <c r="S85" i="5"/>
  <c r="T34" i="5"/>
  <c r="T50" i="5"/>
  <c r="T66" i="5"/>
  <c r="T82"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S18" i="5"/>
  <c r="T234" i="5"/>
  <c r="S169" i="5"/>
  <c r="T126" i="5"/>
  <c r="T26" i="5"/>
  <c r="T35" i="5"/>
  <c r="T138" i="5"/>
  <c r="T171" i="5"/>
  <c r="T205" i="5"/>
  <c r="T121" i="5"/>
  <c r="T150" i="5"/>
  <c r="T110" i="5"/>
  <c r="S53" i="5"/>
  <c r="S61" i="5"/>
  <c r="T76" i="5"/>
  <c r="S123" i="5"/>
  <c r="S177" i="5"/>
  <c r="T186" i="5"/>
  <c r="T226" i="5"/>
  <c r="T327" i="5"/>
  <c r="S361" i="5"/>
  <c r="T31" i="5"/>
  <c r="T36" i="5"/>
  <c r="S77"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47" i="5"/>
  <c r="S55" i="5"/>
  <c r="S83" i="5"/>
  <c r="S95" i="5"/>
  <c r="S161" i="5"/>
  <c r="S171" i="5"/>
  <c r="T119" i="5"/>
  <c r="T183" i="5"/>
  <c r="T131" i="5"/>
  <c r="T195" i="5"/>
  <c r="T206" i="5"/>
  <c r="T294" i="5"/>
  <c r="T142" i="5"/>
  <c r="S31" i="5"/>
  <c r="T33" i="5"/>
  <c r="S45" i="5"/>
  <c r="T93" i="5"/>
  <c r="S113" i="5"/>
  <c r="S145" i="5"/>
  <c r="T154" i="5"/>
  <c r="T214" i="5"/>
  <c r="T298" i="5"/>
  <c r="T56" i="5"/>
  <c r="T64" i="5"/>
  <c r="T69" i="5"/>
  <c r="T88" i="5"/>
  <c r="T38" i="5"/>
  <c r="T70"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T19" i="5"/>
  <c r="S229" i="5"/>
  <c r="S237" i="5"/>
  <c r="T341" i="5"/>
  <c r="S225" i="5"/>
  <c r="S179" i="5"/>
  <c r="S105" i="5"/>
  <c r="S137" i="5"/>
  <c r="T127" i="5"/>
  <c r="S159" i="5"/>
  <c r="T47" i="5"/>
  <c r="T55" i="5"/>
  <c r="S75" i="5"/>
  <c r="T83" i="5"/>
  <c r="T106" i="5"/>
  <c r="T139" i="5"/>
  <c r="T173" i="5"/>
  <c r="T221" i="5"/>
  <c r="T242" i="5"/>
  <c r="S119" i="5"/>
  <c r="S183" i="5"/>
  <c r="T118" i="5"/>
  <c r="S131" i="5"/>
  <c r="S195" i="5"/>
  <c r="S19" i="5"/>
  <c r="T111" i="5"/>
  <c r="T174" i="5"/>
  <c r="T331" i="5"/>
  <c r="T53" i="5"/>
  <c r="S65" i="5"/>
  <c r="T85" i="5"/>
  <c r="T187" i="5"/>
  <c r="T361" i="5"/>
  <c r="T45" i="5"/>
  <c r="T80"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23" i="5"/>
  <c r="T413" i="5"/>
  <c r="T415" i="5"/>
  <c r="S543" i="5"/>
  <c r="S127" i="5"/>
  <c r="T161" i="5"/>
  <c r="T18" i="5"/>
  <c r="T29" i="5"/>
  <c r="S39" i="5"/>
  <c r="T75" i="5"/>
  <c r="S129" i="5"/>
  <c r="T141" i="5"/>
  <c r="T371" i="5"/>
  <c r="T185" i="5"/>
  <c r="T133" i="5"/>
  <c r="T197" i="5"/>
  <c r="T278" i="5"/>
  <c r="S408" i="5"/>
  <c r="S111" i="5"/>
  <c r="T143" i="5"/>
  <c r="S197" i="5"/>
  <c r="T48" i="5"/>
  <c r="T77" i="5"/>
  <c r="T96" i="5"/>
  <c r="T155" i="5"/>
  <c r="S187" i="5"/>
  <c r="T282" i="5"/>
  <c r="T37" i="5"/>
  <c r="T42" i="5"/>
  <c r="T58" i="5"/>
  <c r="T74"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S26" i="5"/>
  <c r="T409" i="5"/>
  <c r="T445" i="5"/>
  <c r="T381" i="5"/>
  <c r="T304" i="5"/>
  <c r="T429" i="5"/>
  <c r="S479" i="5"/>
  <c r="T286" i="5"/>
  <c r="T178" i="5"/>
  <c r="T129" i="5"/>
  <c r="T39" i="5"/>
  <c r="S67" i="5"/>
  <c r="T107" i="5"/>
  <c r="T323" i="5"/>
  <c r="T28" i="5"/>
  <c r="T101" i="5"/>
  <c r="T113" i="5"/>
  <c r="S143" i="5"/>
  <c r="S175" i="5"/>
  <c r="T40" i="5"/>
  <c r="S57" i="5"/>
  <c r="S69" i="5"/>
  <c r="S89" i="5"/>
  <c r="S155" i="5"/>
  <c r="S49" i="5"/>
  <c r="T60" i="5"/>
  <c r="T65"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S51" i="5"/>
  <c r="S59" i="5"/>
  <c r="T67" i="5"/>
  <c r="S99" i="5"/>
  <c r="T109" i="5"/>
  <c r="T162" i="5"/>
  <c r="T246" i="5"/>
  <c r="T307" i="5"/>
  <c r="S27" i="5"/>
  <c r="T145" i="5"/>
  <c r="T177" i="5"/>
  <c r="S25" i="5"/>
  <c r="S81" i="5"/>
  <c r="T157" i="5"/>
  <c r="T30" i="5"/>
  <c r="S41" i="5"/>
  <c r="T81" i="5"/>
  <c r="T122" i="5"/>
  <c r="T46" i="5"/>
  <c r="T62" i="5"/>
  <c r="T78"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8" i="5"/>
  <c r="S210" i="5"/>
  <c r="T389" i="5"/>
  <c r="T397" i="5"/>
  <c r="T449" i="5"/>
  <c r="T254" i="5"/>
  <c r="T114" i="5"/>
  <c r="T147" i="5"/>
  <c r="T218" i="5"/>
  <c r="T238" i="5"/>
  <c r="T21" i="5"/>
  <c r="T51" i="5"/>
  <c r="T59" i="5"/>
  <c r="T79" i="5"/>
  <c r="T99" i="5"/>
  <c r="T170" i="5"/>
  <c r="T203" i="5"/>
  <c r="T210" i="5"/>
  <c r="T274" i="5"/>
  <c r="T32" i="5"/>
  <c r="T153" i="5"/>
  <c r="T351" i="5"/>
  <c r="T222" i="5"/>
  <c r="T20" i="5"/>
  <c r="T49" i="5"/>
  <c r="T57" i="5"/>
  <c r="S73" i="5"/>
  <c r="T92" i="5"/>
  <c r="T97" i="5"/>
  <c r="S33" i="5"/>
  <c r="T52" i="5"/>
  <c r="T68" i="5"/>
  <c r="T73"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63" i="5"/>
  <c r="T95" i="5"/>
  <c r="T319" i="5"/>
  <c r="T22" i="5"/>
  <c r="T468" i="5"/>
  <c r="T261" i="5"/>
  <c r="T202" i="5"/>
  <c r="T499" i="5"/>
  <c r="T428" i="5"/>
  <c r="T54" i="5"/>
  <c r="T86" i="5"/>
  <c r="T380" i="5"/>
  <c r="T456" i="5"/>
  <c r="T357" i="5"/>
  <c r="T311" i="5"/>
  <c r="T258" i="5"/>
  <c r="T352" i="5"/>
  <c r="T416" i="5"/>
  <c r="T432" i="5"/>
  <c r="T24" i="5"/>
  <c r="T484" i="5"/>
  <c r="T266" i="5"/>
  <c r="T344" i="5"/>
  <c r="T146" i="5"/>
  <c r="T117" i="5"/>
  <c r="T404" i="5"/>
  <c r="T6" i="5"/>
  <c r="T5" i="5"/>
  <c r="R2165" i="5"/>
  <c r="X290" i="5"/>
  <c r="X2044" i="5"/>
  <c r="R2044" i="5"/>
  <c r="R1967" i="5"/>
  <c r="X1967" i="5"/>
  <c r="R987" i="5"/>
  <c r="R2069" i="5"/>
  <c r="X1272" i="5"/>
  <c r="R1959" i="5"/>
  <c r="X1198" i="5"/>
  <c r="S606" i="5"/>
  <c r="S610" i="5"/>
  <c r="X520" i="5"/>
  <c r="X363" i="5"/>
  <c r="X322" i="5"/>
  <c r="X347" i="5"/>
  <c r="X186" i="5"/>
  <c r="X226" i="5"/>
  <c r="X456" i="5"/>
  <c r="S598" i="5"/>
  <c r="X550" i="5"/>
  <c r="X542" i="5"/>
  <c r="X376" i="5"/>
  <c r="X221" i="5"/>
  <c r="X165" i="5"/>
  <c r="X37" i="5"/>
  <c r="X504" i="5"/>
  <c r="X503" i="5"/>
  <c r="X338" i="5"/>
  <c r="X121" i="5"/>
  <c r="X323" i="5"/>
  <c r="X360" i="5"/>
  <c r="X483" i="5"/>
  <c r="X326" i="5"/>
  <c r="X310" i="5"/>
  <c r="X146" i="5"/>
  <c r="X488" i="5"/>
  <c r="X514" i="5"/>
  <c r="X498" i="5"/>
  <c r="X482" i="5"/>
  <c r="X558" i="5"/>
  <c r="X555" i="5"/>
  <c r="X535" i="5"/>
  <c r="X230" i="5"/>
  <c r="X21" i="5"/>
  <c r="X149" i="5"/>
  <c r="X530" i="5"/>
  <c r="X387" i="5"/>
  <c r="X122" i="5"/>
  <c r="X546" i="5"/>
  <c r="X559" i="5"/>
  <c r="S532" i="5"/>
  <c r="X336" i="5"/>
  <c r="X356" i="5"/>
  <c r="S356" i="5"/>
  <c r="X318" i="5"/>
  <c r="X154" i="5"/>
  <c r="X214" i="5"/>
  <c r="X20" i="5"/>
  <c r="X233" i="5"/>
  <c r="X70" i="5"/>
  <c r="X329" i="5"/>
  <c r="X98" i="5"/>
  <c r="X241" i="5"/>
  <c r="X301" i="5"/>
  <c r="X198" i="5"/>
  <c r="X134" i="5"/>
  <c r="X234" i="5"/>
  <c r="X174" i="5"/>
  <c r="X353" i="5"/>
  <c r="X34" i="5"/>
  <c r="S343"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S315" i="5"/>
  <c r="X96" i="5"/>
  <c r="X48" i="5"/>
  <c r="X22" i="5"/>
  <c r="X327" i="5"/>
  <c r="X118" i="5"/>
  <c r="X311" i="5"/>
  <c r="X253" i="5"/>
  <c r="X54" i="5"/>
  <c r="X50" i="5"/>
  <c r="X317" i="5"/>
  <c r="X66" i="5"/>
  <c r="X373" i="5"/>
  <c r="X62" i="5"/>
  <c r="X357" i="5"/>
  <c r="S357" i="5"/>
  <c r="X90" i="5"/>
  <c r="X130" i="5"/>
  <c r="X383" i="5"/>
  <c r="S383" i="5"/>
  <c r="X313" i="5"/>
  <c r="X92" i="5"/>
  <c r="X76" i="5"/>
  <c r="X44" i="5"/>
  <c r="X250" i="5"/>
  <c r="X319" i="5"/>
  <c r="X242" i="5"/>
  <c r="X345" i="5"/>
  <c r="X285" i="5"/>
  <c r="X321" i="5"/>
  <c r="X249" i="5"/>
  <c r="X309" i="5"/>
  <c r="B32" i="6"/>
  <c r="G32" i="6"/>
  <c r="X2318" i="5"/>
  <c r="R983" i="5"/>
  <c r="R872" i="5"/>
  <c r="X752" i="5"/>
  <c r="R1339" i="5"/>
  <c r="X1339" i="5"/>
  <c r="R967" i="5"/>
  <c r="R829" i="5"/>
  <c r="R1669" i="5"/>
  <c r="X967" i="5"/>
  <c r="X678" i="5"/>
  <c r="X650" i="5"/>
  <c r="X1385" i="5"/>
  <c r="R1039" i="5"/>
  <c r="R1320" i="5"/>
  <c r="R1754" i="5"/>
  <c r="R1593" i="5"/>
  <c r="X1320" i="5"/>
  <c r="R2301" i="5"/>
  <c r="X1593" i="5"/>
  <c r="R1051" i="5"/>
  <c r="R1015" i="5"/>
  <c r="R852" i="5"/>
  <c r="X1426" i="5"/>
  <c r="X872" i="5"/>
  <c r="R1665" i="5"/>
  <c r="X1158" i="5"/>
  <c r="X2363" i="5"/>
  <c r="R1947" i="5"/>
  <c r="R262" i="5"/>
  <c r="R574" i="5"/>
  <c r="X1947" i="5"/>
  <c r="R1325" i="5"/>
  <c r="R746" i="5"/>
  <c r="R1329" i="5"/>
  <c r="R1204" i="5"/>
  <c r="R2363" i="5"/>
  <c r="R2317" i="5"/>
  <c r="R2157" i="5"/>
  <c r="R799" i="5"/>
  <c r="R2397" i="5"/>
  <c r="X2397" i="5"/>
  <c r="X717" i="5"/>
  <c r="R775" i="5"/>
  <c r="X799" i="5"/>
  <c r="X775" i="5"/>
  <c r="R403" i="5"/>
  <c r="X2016" i="5"/>
  <c r="X1684" i="5"/>
  <c r="T602" i="5"/>
  <c r="X1716" i="5"/>
  <c r="R1403" i="5"/>
  <c r="R1308" i="5"/>
  <c r="X2257" i="5"/>
  <c r="R1633" i="5"/>
  <c r="R891" i="5"/>
  <c r="X1067" i="5"/>
  <c r="R2077" i="5"/>
  <c r="R1673" i="5"/>
  <c r="R2257" i="5"/>
  <c r="R1123" i="5"/>
  <c r="R1272" i="5"/>
  <c r="R2318" i="5"/>
  <c r="X1434" i="5"/>
  <c r="R115" i="5"/>
  <c r="R1724" i="5"/>
  <c r="X1325" i="5"/>
  <c r="X1724" i="5"/>
  <c r="X696" i="5"/>
  <c r="R1712" i="5"/>
  <c r="R1313" i="5"/>
  <c r="R762" i="5"/>
  <c r="R1697" i="5"/>
  <c r="R1609" i="5"/>
  <c r="X1712" i="5"/>
  <c r="X1313" i="5"/>
  <c r="R419" i="5"/>
  <c r="X2293" i="5"/>
  <c r="R2293" i="5"/>
  <c r="R1693" i="5"/>
  <c r="R1680" i="5"/>
  <c r="R1224" i="5"/>
  <c r="X1297" i="5"/>
  <c r="R1641" i="5"/>
  <c r="R1233" i="5"/>
  <c r="R2480" i="5"/>
  <c r="R2310" i="5"/>
  <c r="X1754" i="5"/>
  <c r="R1644" i="5"/>
  <c r="R1253" i="5"/>
  <c r="R447" i="5"/>
  <c r="X2310" i="5"/>
  <c r="R1859" i="5"/>
  <c r="X1253" i="5"/>
  <c r="X2480" i="5"/>
  <c r="X1859" i="5"/>
  <c r="X1668" i="5"/>
  <c r="X1508" i="5"/>
  <c r="X1222" i="5"/>
  <c r="R1086" i="5"/>
  <c r="R415" i="5"/>
  <c r="X2386" i="5"/>
  <c r="R1653" i="5"/>
  <c r="R836" i="5"/>
  <c r="R395" i="5"/>
  <c r="X1900" i="5"/>
  <c r="X1381" i="5"/>
  <c r="X1329" i="5"/>
  <c r="X971" i="5"/>
  <c r="X2213" i="5"/>
  <c r="X1633" i="5"/>
  <c r="R808" i="5"/>
  <c r="X1919" i="5"/>
  <c r="T314" i="5"/>
  <c r="R2133" i="5"/>
  <c r="R2161" i="5"/>
  <c r="X1403" i="5"/>
  <c r="R1067" i="5"/>
  <c r="X1308" i="5"/>
  <c r="X2133" i="5"/>
  <c r="R1716" i="5"/>
  <c r="R1285" i="5"/>
  <c r="R883" i="5"/>
  <c r="X783" i="5"/>
  <c r="R1919" i="5"/>
  <c r="R1725" i="5"/>
  <c r="R1684" i="5"/>
  <c r="X1526" i="5"/>
  <c r="R2184" i="5"/>
  <c r="R1660" i="5"/>
  <c r="X1688" i="5"/>
  <c r="R2181" i="5"/>
  <c r="X2012" i="5"/>
  <c r="X2092" i="5"/>
  <c r="R1668" i="5"/>
  <c r="X1660" i="5"/>
  <c r="X942" i="5"/>
  <c r="X767" i="5"/>
  <c r="X2215" i="5"/>
  <c r="X2184" i="5"/>
  <c r="R2164" i="5"/>
  <c r="R1657" i="5"/>
  <c r="R1652" i="5"/>
  <c r="X1644" i="5"/>
  <c r="X680" i="5"/>
  <c r="R391" i="5"/>
  <c r="R2454" i="5"/>
  <c r="X1652" i="5"/>
  <c r="R942" i="5"/>
  <c r="R720" i="5"/>
  <c r="X2253" i="5"/>
  <c r="R2012" i="5"/>
  <c r="R2043" i="5"/>
  <c r="R2197" i="5"/>
  <c r="X2043" i="5"/>
  <c r="R1708" i="5"/>
  <c r="R1688" i="5"/>
  <c r="X2197" i="5"/>
  <c r="X2409" i="5"/>
  <c r="R1774" i="5"/>
  <c r="R1140" i="5"/>
  <c r="X852" i="5"/>
  <c r="R754" i="5"/>
  <c r="X1140" i="5"/>
  <c r="X1842" i="5"/>
  <c r="X1774" i="5"/>
  <c r="R979" i="5"/>
  <c r="R2116" i="5"/>
  <c r="X730" i="5"/>
  <c r="X1086" i="5"/>
  <c r="R580" i="5"/>
  <c r="R1292" i="5"/>
  <c r="R869" i="5"/>
  <c r="R1855" i="5"/>
  <c r="X1811" i="5"/>
  <c r="X869" i="5"/>
  <c r="R730" i="5"/>
  <c r="X738" i="5"/>
  <c r="X1855" i="5"/>
  <c r="R1811" i="5"/>
  <c r="R1317" i="5"/>
  <c r="R411" i="5"/>
  <c r="R87" i="5"/>
  <c r="X1317" i="5"/>
  <c r="R439" i="5"/>
  <c r="T87" i="5"/>
  <c r="X1801" i="5"/>
  <c r="R1770" i="5"/>
  <c r="R1700" i="5"/>
  <c r="X1577" i="5"/>
  <c r="R888" i="5"/>
  <c r="X829" i="5"/>
  <c r="R757" i="5"/>
  <c r="R431" i="5"/>
  <c r="X2325" i="5"/>
  <c r="R2417" i="5"/>
  <c r="X2317" i="5"/>
  <c r="X1770" i="5"/>
  <c r="X1700" i="5"/>
  <c r="R1003" i="5"/>
  <c r="X1352" i="5"/>
  <c r="X1292" i="5"/>
  <c r="X2417" i="5"/>
  <c r="R1696" i="5"/>
  <c r="R1672" i="5"/>
  <c r="R194" i="5"/>
  <c r="R215" i="5"/>
  <c r="R1936" i="5"/>
  <c r="X1672" i="5"/>
  <c r="R974" i="5"/>
  <c r="X757" i="5"/>
  <c r="R334" i="5"/>
  <c r="X2301" i="5"/>
  <c r="X1494" i="5"/>
  <c r="X1190" i="5"/>
  <c r="R875" i="5"/>
  <c r="R738" i="5"/>
  <c r="X749" i="5"/>
  <c r="R718" i="5"/>
  <c r="R207" i="5"/>
  <c r="X1510" i="5"/>
  <c r="X974" i="5"/>
  <c r="R435" i="5"/>
  <c r="R2289" i="5"/>
  <c r="X2154" i="5"/>
  <c r="R2160" i="5"/>
  <c r="R2035" i="5"/>
  <c r="X1876" i="5"/>
  <c r="X1304" i="5"/>
  <c r="R794" i="5"/>
  <c r="X634" i="5"/>
  <c r="X2035" i="5"/>
  <c r="X1471" i="5"/>
  <c r="R1115" i="5"/>
  <c r="X1145" i="5"/>
  <c r="R1074" i="5"/>
  <c r="X1527" i="5"/>
  <c r="R592" i="5"/>
  <c r="R2100" i="5"/>
  <c r="R1940" i="5"/>
  <c r="R1867" i="5"/>
  <c r="X2160" i="5"/>
  <c r="X1940" i="5"/>
  <c r="X1867" i="5"/>
  <c r="R1145" i="5"/>
  <c r="X814" i="5"/>
  <c r="R423" i="5"/>
  <c r="R2405" i="5"/>
  <c r="X2100" i="5"/>
  <c r="X1074" i="5"/>
  <c r="R303" i="5"/>
  <c r="R71" i="5"/>
  <c r="X2405" i="5"/>
  <c r="R2180" i="5"/>
  <c r="R1952" i="5"/>
  <c r="R1786" i="5"/>
  <c r="R1131" i="5"/>
  <c r="R1304" i="5"/>
  <c r="R2386" i="5"/>
  <c r="X1952" i="5"/>
  <c r="X1786" i="5"/>
  <c r="R1471" i="5"/>
  <c r="R971" i="5"/>
  <c r="R817" i="5"/>
  <c r="T71" i="5"/>
  <c r="R1055" i="5"/>
  <c r="R712" i="5"/>
  <c r="R427" i="5"/>
  <c r="R608" i="5"/>
  <c r="X2465" i="5"/>
  <c r="R2205" i="5"/>
  <c r="X2205" i="5"/>
  <c r="X640" i="5"/>
  <c r="R640" i="5"/>
  <c r="X672" i="5"/>
  <c r="R672" i="5"/>
  <c r="R175" i="5"/>
  <c r="X808" i="5"/>
  <c r="X644" i="5"/>
  <c r="R2265" i="5"/>
  <c r="X891" i="5"/>
  <c r="R915" i="5"/>
  <c r="R710" i="5"/>
  <c r="R1198" i="5"/>
  <c r="X987" i="5"/>
  <c r="R1107" i="5"/>
  <c r="R867" i="5"/>
  <c r="X915" i="5"/>
  <c r="X679" i="5"/>
  <c r="R1526" i="5"/>
  <c r="R1158" i="5"/>
  <c r="R931" i="5"/>
  <c r="R1138" i="5"/>
  <c r="X867" i="5"/>
  <c r="R2199" i="5"/>
  <c r="X1051" i="5"/>
  <c r="R578" i="5"/>
  <c r="R306" i="5"/>
  <c r="R243" i="5"/>
  <c r="X1464" i="5"/>
  <c r="R2253" i="5"/>
  <c r="R191" i="5"/>
  <c r="R103" i="5"/>
  <c r="R314" i="5"/>
  <c r="R330" i="5"/>
  <c r="X1138" i="5"/>
  <c r="X712" i="5"/>
  <c r="X2189" i="5"/>
  <c r="R239" i="5"/>
  <c r="R2213" i="5"/>
  <c r="X2381" i="5"/>
  <c r="R43" i="5"/>
  <c r="R91" i="5"/>
  <c r="X2334" i="5"/>
  <c r="R1876" i="5"/>
  <c r="R1508" i="5"/>
  <c r="X1645" i="5"/>
  <c r="X1071" i="5"/>
  <c r="X1035" i="5"/>
  <c r="X794" i="5"/>
  <c r="X1007" i="5"/>
  <c r="X632" i="5"/>
  <c r="R632" i="5"/>
  <c r="R814" i="5"/>
  <c r="R163" i="5"/>
  <c r="X2330" i="5"/>
  <c r="R2225" i="5"/>
  <c r="X2069" i="5"/>
  <c r="R1494" i="5"/>
  <c r="R1426" i="5"/>
  <c r="R1193" i="5"/>
  <c r="X1193" i="5"/>
  <c r="X1123" i="5"/>
  <c r="X979" i="5"/>
  <c r="X774" i="5"/>
  <c r="X710" i="5"/>
  <c r="R576" i="5"/>
  <c r="R297" i="5"/>
  <c r="R2284" i="5"/>
  <c r="X2284" i="5"/>
  <c r="X2180" i="5"/>
  <c r="X2237" i="5"/>
  <c r="R2237" i="5"/>
  <c r="X1761" i="5"/>
  <c r="X1003" i="5"/>
  <c r="R596" i="5"/>
  <c r="R365" i="5"/>
  <c r="R279" i="5"/>
  <c r="R717" i="5"/>
  <c r="R251" i="5"/>
  <c r="R293" i="5"/>
  <c r="R290" i="5"/>
  <c r="X1204" i="5"/>
  <c r="R1190" i="5"/>
  <c r="X1015" i="5"/>
  <c r="X750" i="5"/>
  <c r="X754" i="5"/>
  <c r="X648" i="5"/>
  <c r="R648" i="5"/>
  <c r="R602" i="5"/>
  <c r="R261" i="5"/>
  <c r="R277" i="5"/>
  <c r="R600" i="5"/>
  <c r="T600" i="5"/>
  <c r="R151" i="5"/>
  <c r="X2233" i="5"/>
  <c r="R2233" i="5"/>
  <c r="R1510" i="5"/>
  <c r="X1079" i="5"/>
  <c r="X1107" i="5"/>
  <c r="X662" i="5"/>
  <c r="R662" i="5"/>
  <c r="R634" i="5"/>
  <c r="X664" i="5"/>
  <c r="R664" i="5"/>
  <c r="R287" i="5"/>
  <c r="R211" i="5"/>
  <c r="X2232" i="5"/>
  <c r="X2454" i="5"/>
  <c r="X2116" i="5"/>
  <c r="X2077" i="5"/>
  <c r="X1941" i="5"/>
  <c r="R1941" i="5"/>
  <c r="X1653" i="5"/>
  <c r="R1438" i="5"/>
  <c r="R1222" i="5"/>
  <c r="X1115" i="5"/>
  <c r="R1464" i="5"/>
  <c r="X1055" i="5"/>
  <c r="R684" i="5"/>
  <c r="X684" i="5"/>
  <c r="R749" i="5"/>
  <c r="R588" i="5"/>
  <c r="R650" i="5"/>
  <c r="R670" i="5"/>
  <c r="X670" i="5"/>
  <c r="R472" i="5"/>
  <c r="R305" i="5"/>
  <c r="R2357" i="5"/>
  <c r="X2164" i="5"/>
  <c r="X1725" i="5"/>
  <c r="R1430" i="5"/>
  <c r="X1693" i="5"/>
  <c r="X1095" i="5"/>
  <c r="X1110" i="5"/>
  <c r="X1039" i="5"/>
  <c r="X762" i="5"/>
  <c r="R679" i="5"/>
  <c r="X817" i="5"/>
  <c r="R524" i="5"/>
  <c r="X2326" i="5"/>
  <c r="R2154" i="5"/>
  <c r="R1900" i="5"/>
  <c r="X1669" i="5"/>
  <c r="X1701" i="5"/>
  <c r="R1434" i="5"/>
  <c r="R1381" i="5"/>
  <c r="X1133" i="5"/>
  <c r="R1181" i="5"/>
  <c r="X1181" i="5"/>
  <c r="X1131" i="5"/>
  <c r="X718" i="5"/>
  <c r="X983" i="5"/>
  <c r="X766" i="5"/>
  <c r="R496" i="5"/>
  <c r="X18" i="5"/>
  <c r="B52" i="6"/>
  <c r="G52" i="6"/>
  <c r="B37" i="6"/>
  <c r="G37" i="6"/>
  <c r="B42" i="6"/>
  <c r="G42" i="6"/>
  <c r="B50" i="6"/>
  <c r="G50" i="6"/>
  <c r="B35" i="6"/>
  <c r="G35" i="6"/>
  <c r="X6" i="5"/>
  <c r="X2426" i="5"/>
  <c r="R2426" i="5"/>
  <c r="X2446" i="5"/>
  <c r="R2446" i="5"/>
  <c r="G22" i="6"/>
  <c r="B47" i="6"/>
  <c r="G47" i="6"/>
  <c r="R2504" i="5"/>
  <c r="X2504" i="5"/>
  <c r="R2434" i="5"/>
  <c r="X2434" i="5"/>
  <c r="R2459" i="5"/>
  <c r="X2459" i="5"/>
  <c r="R2399" i="5"/>
  <c r="X2399" i="5"/>
  <c r="R2392" i="5"/>
  <c r="X2392" i="5"/>
  <c r="X2369" i="5"/>
  <c r="R2369" i="5"/>
  <c r="R2383" i="5"/>
  <c r="X2383" i="5"/>
  <c r="X2319" i="5"/>
  <c r="R2319" i="5"/>
  <c r="R2279" i="5"/>
  <c r="X2279" i="5"/>
  <c r="R2272" i="5"/>
  <c r="X2272" i="5"/>
  <c r="X2200" i="5"/>
  <c r="R2200" i="5"/>
  <c r="X2254" i="5"/>
  <c r="R2254" i="5"/>
  <c r="X2258" i="5"/>
  <c r="R2258" i="5"/>
  <c r="R2270" i="5"/>
  <c r="X2270" i="5"/>
  <c r="R2187" i="5"/>
  <c r="X2187" i="5"/>
  <c r="R2155" i="5"/>
  <c r="X2155" i="5"/>
  <c r="R2206" i="5"/>
  <c r="X2206" i="5"/>
  <c r="R2198" i="5"/>
  <c r="X2198" i="5"/>
  <c r="R2179" i="5"/>
  <c r="X2179" i="5"/>
  <c r="X2066" i="5"/>
  <c r="R2066" i="5"/>
  <c r="R2176" i="5"/>
  <c r="X2176" i="5"/>
  <c r="X2063" i="5"/>
  <c r="R2063" i="5"/>
  <c r="R2115" i="5"/>
  <c r="X2115" i="5"/>
  <c r="R2171" i="5"/>
  <c r="X2171" i="5"/>
  <c r="R1926" i="5"/>
  <c r="X1926" i="5"/>
  <c r="R2038" i="5"/>
  <c r="X2038" i="5"/>
  <c r="R1974" i="5"/>
  <c r="X1974" i="5"/>
  <c r="X1852" i="5"/>
  <c r="R1852" i="5"/>
  <c r="R2018" i="5"/>
  <c r="X2018" i="5"/>
  <c r="R1998" i="5"/>
  <c r="X1998" i="5"/>
  <c r="R1845" i="5"/>
  <c r="R1978" i="5"/>
  <c r="X1978" i="5"/>
  <c r="R2046" i="5"/>
  <c r="X2046" i="5"/>
  <c r="X1783" i="5"/>
  <c r="R1783" i="5"/>
  <c r="R1826" i="5"/>
  <c r="X1826" i="5"/>
  <c r="R1833" i="5"/>
  <c r="X1833" i="5"/>
  <c r="R1914" i="5"/>
  <c r="X1914" i="5"/>
  <c r="R1737" i="5"/>
  <c r="X1550" i="5"/>
  <c r="R1550" i="5"/>
  <c r="R1747" i="5"/>
  <c r="X1747" i="5"/>
  <c r="R1671" i="5"/>
  <c r="X1671" i="5"/>
  <c r="R1552" i="5"/>
  <c r="X1552" i="5"/>
  <c r="R1667" i="5"/>
  <c r="X1667" i="5"/>
  <c r="R1825" i="5"/>
  <c r="X1825" i="5"/>
  <c r="R1655" i="5"/>
  <c r="X1655" i="5"/>
  <c r="R1413" i="5"/>
  <c r="X1413" i="5"/>
  <c r="R1615" i="5"/>
  <c r="X1615" i="5"/>
  <c r="R1583" i="5"/>
  <c r="X1583" i="5"/>
  <c r="R1346" i="5"/>
  <c r="X1346" i="5"/>
  <c r="X1476" i="5"/>
  <c r="R1476" i="5"/>
  <c r="R1394" i="5"/>
  <c r="X1394" i="5"/>
  <c r="R1604" i="5"/>
  <c r="X1604" i="5"/>
  <c r="R1687" i="5"/>
  <c r="X1687" i="5"/>
  <c r="R1392" i="5"/>
  <c r="X1392" i="5"/>
  <c r="R1584" i="5"/>
  <c r="X1584" i="5"/>
  <c r="R1445" i="5"/>
  <c r="X1445" i="5"/>
  <c r="R1592" i="5"/>
  <c r="X1592" i="5"/>
  <c r="R1517" i="5"/>
  <c r="X1517" i="5"/>
  <c r="R1244" i="5"/>
  <c r="X1244" i="5"/>
  <c r="R1477" i="5"/>
  <c r="X1477" i="5"/>
  <c r="R1335" i="5"/>
  <c r="X1335" i="5"/>
  <c r="R1303" i="5"/>
  <c r="X1303" i="5"/>
  <c r="R1271" i="5"/>
  <c r="X1271" i="5"/>
  <c r="R1366" i="5"/>
  <c r="X1366" i="5"/>
  <c r="X1016" i="5"/>
  <c r="R1016" i="5"/>
  <c r="R1137" i="5"/>
  <c r="X1137" i="5"/>
  <c r="X1162" i="5"/>
  <c r="R1162" i="5"/>
  <c r="X1120" i="5"/>
  <c r="R1120" i="5"/>
  <c r="X1056" i="5"/>
  <c r="R1056" i="5"/>
  <c r="X992" i="5"/>
  <c r="R992" i="5"/>
  <c r="X1238" i="5"/>
  <c r="R1238" i="5"/>
  <c r="X988" i="5"/>
  <c r="R988" i="5"/>
  <c r="X1116" i="5"/>
  <c r="R1116" i="5"/>
  <c r="X1052" i="5"/>
  <c r="R1052" i="5"/>
  <c r="X932" i="5"/>
  <c r="R932" i="5"/>
  <c r="R914" i="5"/>
  <c r="X914" i="5"/>
  <c r="R870" i="5"/>
  <c r="X870" i="5"/>
  <c r="X863" i="5"/>
  <c r="R863" i="5"/>
  <c r="X1049" i="5"/>
  <c r="R1049" i="5"/>
  <c r="X669" i="5"/>
  <c r="R669" i="5"/>
  <c r="X637" i="5"/>
  <c r="R637" i="5"/>
  <c r="R605" i="5"/>
  <c r="T605" i="5"/>
  <c r="R595" i="5"/>
  <c r="R583" i="5"/>
  <c r="R567" i="5"/>
  <c r="R529" i="5"/>
  <c r="R486" i="5"/>
  <c r="R467" i="5"/>
  <c r="R521" i="5"/>
  <c r="R469" i="5"/>
  <c r="R541" i="5"/>
  <c r="R509" i="5"/>
  <c r="R466" i="5"/>
  <c r="R378" i="5"/>
  <c r="R340" i="5"/>
  <c r="R394" i="5"/>
  <c r="R374" i="5"/>
  <c r="R355" i="5"/>
  <c r="R324" i="5"/>
  <c r="R300" i="5"/>
  <c r="R292" i="5"/>
  <c r="R284" i="5"/>
  <c r="R276" i="5"/>
  <c r="R268" i="5"/>
  <c r="R260" i="5"/>
  <c r="R252" i="5"/>
  <c r="T244" i="5"/>
  <c r="R244" i="5"/>
  <c r="R236" i="5"/>
  <c r="R228" i="5"/>
  <c r="R132" i="5"/>
  <c r="R402" i="5"/>
  <c r="R204" i="5"/>
  <c r="R116" i="5"/>
  <c r="R104" i="5"/>
  <c r="G20" i="6"/>
  <c r="H20" i="6"/>
  <c r="D20" i="6"/>
  <c r="D17" i="6"/>
  <c r="X2439" i="5"/>
  <c r="R2439" i="5"/>
  <c r="X2414" i="5"/>
  <c r="R2414" i="5"/>
  <c r="X2448" i="5"/>
  <c r="R2448" i="5"/>
  <c r="B27" i="6"/>
  <c r="G27" i="6"/>
  <c r="X2427" i="5"/>
  <c r="R2427" i="5"/>
  <c r="X2378" i="5"/>
  <c r="R2378" i="5"/>
  <c r="R2287" i="5"/>
  <c r="X2287" i="5"/>
  <c r="X2192" i="5"/>
  <c r="R2192" i="5"/>
  <c r="R2135" i="5"/>
  <c r="X2135" i="5"/>
  <c r="X2266" i="5"/>
  <c r="R2266" i="5"/>
  <c r="R2222" i="5"/>
  <c r="X2222" i="5"/>
  <c r="R2172" i="5"/>
  <c r="X2172" i="5"/>
  <c r="X2114" i="5"/>
  <c r="R2114" i="5"/>
  <c r="X2098" i="5"/>
  <c r="R2098" i="5"/>
  <c r="R2151" i="5"/>
  <c r="X2151" i="5"/>
  <c r="X2238" i="5"/>
  <c r="R2238" i="5"/>
  <c r="X2086" i="5"/>
  <c r="R2086" i="5"/>
  <c r="R2091" i="5"/>
  <c r="X2091" i="5"/>
  <c r="X2055" i="5"/>
  <c r="R2055" i="5"/>
  <c r="R2139" i="5"/>
  <c r="X2139" i="5"/>
  <c r="R2078" i="5"/>
  <c r="X2078" i="5"/>
  <c r="R2070" i="5"/>
  <c r="X2070" i="5"/>
  <c r="R2062" i="5"/>
  <c r="X2062" i="5"/>
  <c r="R2054" i="5"/>
  <c r="X2054" i="5"/>
  <c r="R2026" i="5"/>
  <c r="X2026" i="5"/>
  <c r="X1872" i="5"/>
  <c r="R1872" i="5"/>
  <c r="X1934" i="5"/>
  <c r="R1934" i="5"/>
  <c r="R1966" i="5"/>
  <c r="X1966" i="5"/>
  <c r="X1861" i="5"/>
  <c r="R1861" i="5"/>
  <c r="X2263" i="5"/>
  <c r="R2263" i="5"/>
  <c r="R2034" i="5"/>
  <c r="X2034" i="5"/>
  <c r="X1819" i="5"/>
  <c r="R1819" i="5"/>
  <c r="X1803" i="5"/>
  <c r="R1803" i="5"/>
  <c r="X1771" i="5"/>
  <c r="R1771" i="5"/>
  <c r="X2082" i="5"/>
  <c r="R2082" i="5"/>
  <c r="X1880" i="5"/>
  <c r="R1880" i="5"/>
  <c r="X1763" i="5"/>
  <c r="R1763" i="5"/>
  <c r="R1745" i="5"/>
  <c r="X1745" i="5"/>
  <c r="X1722" i="5"/>
  <c r="R1722" i="5"/>
  <c r="X1706" i="5"/>
  <c r="R1706" i="5"/>
  <c r="X1690" i="5"/>
  <c r="R1690" i="5"/>
  <c r="X1674" i="5"/>
  <c r="R1674" i="5"/>
  <c r="X1658" i="5"/>
  <c r="R1658" i="5"/>
  <c r="X1642" i="5"/>
  <c r="R1642" i="5"/>
  <c r="X1626" i="5"/>
  <c r="R1626" i="5"/>
  <c r="X1610" i="5"/>
  <c r="R1610" i="5"/>
  <c r="X1594" i="5"/>
  <c r="R1594" i="5"/>
  <c r="X1578" i="5"/>
  <c r="R1578" i="5"/>
  <c r="X1562" i="5"/>
  <c r="R1562" i="5"/>
  <c r="R1846" i="5"/>
  <c r="X1846" i="5"/>
  <c r="X1742" i="5"/>
  <c r="R1742" i="5"/>
  <c r="R1624" i="5"/>
  <c r="X1624" i="5"/>
  <c r="R1699" i="5"/>
  <c r="X1699" i="5"/>
  <c r="R1663" i="5"/>
  <c r="X1663" i="5"/>
  <c r="R1691" i="5"/>
  <c r="X1691" i="5"/>
  <c r="R1548" i="5"/>
  <c r="X1548" i="5"/>
  <c r="R1611" i="5"/>
  <c r="X1611" i="5"/>
  <c r="R1579" i="5"/>
  <c r="X1579" i="5"/>
  <c r="R1338" i="5"/>
  <c r="X1338" i="5"/>
  <c r="R1572" i="5"/>
  <c r="X1572" i="5"/>
  <c r="R1360" i="5"/>
  <c r="X1360" i="5"/>
  <c r="R1399" i="5"/>
  <c r="X1399" i="5"/>
  <c r="X1528" i="5"/>
  <c r="R1528" i="5"/>
  <c r="X1134" i="5"/>
  <c r="R1134" i="5"/>
  <c r="X1627" i="5"/>
  <c r="R1627" i="5"/>
  <c r="R1560" i="5"/>
  <c r="X1560" i="5"/>
  <c r="R1207" i="5"/>
  <c r="X1207" i="5"/>
  <c r="X1108" i="5"/>
  <c r="R1108" i="5"/>
  <c r="X1044" i="5"/>
  <c r="R1044" i="5"/>
  <c r="R1398" i="5"/>
  <c r="X1398" i="5"/>
  <c r="R1368" i="5"/>
  <c r="X1368" i="5"/>
  <c r="R1323" i="5"/>
  <c r="X1323" i="5"/>
  <c r="R1291" i="5"/>
  <c r="X1291" i="5"/>
  <c r="R1259" i="5"/>
  <c r="X1259" i="5"/>
  <c r="R1350" i="5"/>
  <c r="X1350" i="5"/>
  <c r="X1330" i="5"/>
  <c r="R1330" i="5"/>
  <c r="X1322" i="5"/>
  <c r="R1322" i="5"/>
  <c r="X1314" i="5"/>
  <c r="R1314" i="5"/>
  <c r="X1306" i="5"/>
  <c r="R1306" i="5"/>
  <c r="X1298" i="5"/>
  <c r="R1298" i="5"/>
  <c r="X1290" i="5"/>
  <c r="R1290" i="5"/>
  <c r="X1282" i="5"/>
  <c r="R1282" i="5"/>
  <c r="X1274" i="5"/>
  <c r="R1274" i="5"/>
  <c r="X1012" i="5"/>
  <c r="R1012" i="5"/>
  <c r="R1231" i="5"/>
  <c r="X1231" i="5"/>
  <c r="X911" i="5"/>
  <c r="R911" i="5"/>
  <c r="X900" i="5"/>
  <c r="R900" i="5"/>
  <c r="X1004" i="5"/>
  <c r="R1004" i="5"/>
  <c r="X895" i="5"/>
  <c r="R895" i="5"/>
  <c r="X1033" i="5"/>
  <c r="R1033" i="5"/>
  <c r="X1081" i="5"/>
  <c r="R1081" i="5"/>
  <c r="X912" i="5"/>
  <c r="R912" i="5"/>
  <c r="R858" i="5"/>
  <c r="X858" i="5"/>
  <c r="X823" i="5"/>
  <c r="R823" i="5"/>
  <c r="X868" i="5"/>
  <c r="R868" i="5"/>
  <c r="X907" i="5"/>
  <c r="R907" i="5"/>
  <c r="X695" i="5"/>
  <c r="R695" i="5"/>
  <c r="X665" i="5"/>
  <c r="R665" i="5"/>
  <c r="X633" i="5"/>
  <c r="R633" i="5"/>
  <c r="R601" i="5"/>
  <c r="T601" i="5"/>
  <c r="R591" i="5"/>
  <c r="R577" i="5"/>
  <c r="R534" i="5"/>
  <c r="R537" i="5"/>
  <c r="R538" i="5"/>
  <c r="R522" i="5"/>
  <c r="R506" i="5"/>
  <c r="R490" i="5"/>
  <c r="R398" i="5"/>
  <c r="R362" i="5"/>
  <c r="R184" i="5"/>
  <c r="R328" i="5"/>
  <c r="R220" i="5"/>
  <c r="R176" i="5"/>
  <c r="X2422" i="5"/>
  <c r="R2422" i="5"/>
  <c r="R2396" i="5"/>
  <c r="X2396" i="5"/>
  <c r="X2331" i="5"/>
  <c r="R2331" i="5"/>
  <c r="X2327" i="5"/>
  <c r="R2327" i="5"/>
  <c r="X2292" i="5"/>
  <c r="R2292" i="5"/>
  <c r="X2290" i="5"/>
  <c r="R2290" i="5"/>
  <c r="X2123" i="5"/>
  <c r="R2123" i="5"/>
  <c r="R2281" i="5"/>
  <c r="X2281" i="5"/>
  <c r="R2099" i="5"/>
  <c r="X2099" i="5"/>
  <c r="R1958" i="5"/>
  <c r="X1958" i="5"/>
  <c r="X1837" i="5"/>
  <c r="R1837" i="5"/>
  <c r="R1970" i="5"/>
  <c r="X1970" i="5"/>
  <c r="X1888" i="5"/>
  <c r="R1888" i="5"/>
  <c r="X1796" i="5"/>
  <c r="R1796" i="5"/>
  <c r="X1788" i="5"/>
  <c r="R1788" i="5"/>
  <c r="X1780" i="5"/>
  <c r="R1780" i="5"/>
  <c r="X1726" i="5"/>
  <c r="R1726" i="5"/>
  <c r="X1694" i="5"/>
  <c r="R1694" i="5"/>
  <c r="X1646" i="5"/>
  <c r="R1646" i="5"/>
  <c r="X1614" i="5"/>
  <c r="R1614" i="5"/>
  <c r="X1582" i="5"/>
  <c r="R1582" i="5"/>
  <c r="R1659" i="5"/>
  <c r="X1659" i="5"/>
  <c r="R1679" i="5"/>
  <c r="X1679" i="5"/>
  <c r="R1571" i="5"/>
  <c r="X1571" i="5"/>
  <c r="R1485" i="5"/>
  <c r="X1485" i="5"/>
  <c r="X1456" i="5"/>
  <c r="R1456" i="5"/>
  <c r="X1532" i="5"/>
  <c r="R1532" i="5"/>
  <c r="R1612" i="5"/>
  <c r="X1612" i="5"/>
  <c r="R1461" i="5"/>
  <c r="X1461" i="5"/>
  <c r="X1235" i="5"/>
  <c r="R1235" i="5"/>
  <c r="X1171" i="5"/>
  <c r="R1171" i="5"/>
  <c r="R1501" i="5"/>
  <c r="X1501" i="5"/>
  <c r="R1386" i="5"/>
  <c r="X1386" i="5"/>
  <c r="R1596" i="5"/>
  <c r="X1596" i="5"/>
  <c r="X1174" i="5"/>
  <c r="R1174" i="5"/>
  <c r="X1092" i="5"/>
  <c r="R1092" i="5"/>
  <c r="X1028" i="5"/>
  <c r="R1028" i="5"/>
  <c r="R1407" i="5"/>
  <c r="X1407" i="5"/>
  <c r="R1331" i="5"/>
  <c r="X1331" i="5"/>
  <c r="R1299" i="5"/>
  <c r="X1299" i="5"/>
  <c r="R1267" i="5"/>
  <c r="X1267" i="5"/>
  <c r="X1202" i="5"/>
  <c r="R1202" i="5"/>
  <c r="X1128" i="5"/>
  <c r="R1128" i="5"/>
  <c r="X1096" i="5"/>
  <c r="R1096" i="5"/>
  <c r="X1064" i="5"/>
  <c r="R1064" i="5"/>
  <c r="R1588" i="5"/>
  <c r="X1588" i="5"/>
  <c r="R1384" i="5"/>
  <c r="X1384" i="5"/>
  <c r="X927" i="5"/>
  <c r="R927" i="5"/>
  <c r="X1195" i="5"/>
  <c r="R1195" i="5"/>
  <c r="X972" i="5"/>
  <c r="R972" i="5"/>
  <c r="R930" i="5"/>
  <c r="X930" i="5"/>
  <c r="X985" i="5"/>
  <c r="R985" i="5"/>
  <c r="X837" i="5"/>
  <c r="R837" i="5"/>
  <c r="X657" i="5"/>
  <c r="R657" i="5"/>
  <c r="X675" i="5"/>
  <c r="R675" i="5"/>
  <c r="X659" i="5"/>
  <c r="R659" i="5"/>
  <c r="X643" i="5"/>
  <c r="R643" i="5"/>
  <c r="X627" i="5"/>
  <c r="R627" i="5"/>
  <c r="R611" i="5"/>
  <c r="T611" i="5"/>
  <c r="R502" i="5"/>
  <c r="X2418" i="5"/>
  <c r="R2418" i="5"/>
  <c r="R2468" i="5"/>
  <c r="X2468" i="5"/>
  <c r="X2407" i="5"/>
  <c r="R2407" i="5"/>
  <c r="X2431" i="5"/>
  <c r="R2431" i="5"/>
  <c r="X2347" i="5"/>
  <c r="R2347" i="5"/>
  <c r="R2111" i="5"/>
  <c r="X2111" i="5"/>
  <c r="X1738" i="5"/>
  <c r="R1738" i="5"/>
  <c r="R1711" i="5"/>
  <c r="X1711" i="5"/>
  <c r="R1675" i="5"/>
  <c r="X1675" i="5"/>
  <c r="R1401" i="5"/>
  <c r="X1401" i="5"/>
  <c r="R1295" i="5"/>
  <c r="X1295" i="5"/>
  <c r="X964" i="5"/>
  <c r="R964" i="5"/>
  <c r="X960" i="5"/>
  <c r="R960" i="5"/>
  <c r="X884" i="5"/>
  <c r="R884" i="5"/>
  <c r="X677" i="5"/>
  <c r="R677" i="5"/>
  <c r="X645" i="5"/>
  <c r="R645" i="5"/>
  <c r="R518" i="5"/>
  <c r="R493" i="5"/>
  <c r="R442" i="5"/>
  <c r="R410" i="5"/>
  <c r="R216" i="5"/>
  <c r="R120" i="5"/>
  <c r="R140" i="5"/>
  <c r="R192" i="5"/>
  <c r="D41" i="6"/>
  <c r="D36" i="6"/>
  <c r="D51" i="6"/>
  <c r="X2479" i="5"/>
  <c r="R2479" i="5"/>
  <c r="X2410" i="5"/>
  <c r="R2410" i="5"/>
  <c r="X2491" i="5"/>
  <c r="R2491" i="5"/>
  <c r="R2403" i="5"/>
  <c r="X2403" i="5"/>
  <c r="R2387" i="5"/>
  <c r="X2387" i="5"/>
  <c r="R2404" i="5"/>
  <c r="X2404" i="5"/>
  <c r="X2398" i="5"/>
  <c r="R2398" i="5"/>
  <c r="X2370" i="5"/>
  <c r="R2370" i="5"/>
  <c r="X2470" i="5"/>
  <c r="R2470" i="5"/>
  <c r="X2339" i="5"/>
  <c r="R2339" i="5"/>
  <c r="X2315" i="5"/>
  <c r="R2315" i="5"/>
  <c r="R2424" i="5"/>
  <c r="X2424" i="5"/>
  <c r="X2344" i="5"/>
  <c r="R2344" i="5"/>
  <c r="R2276" i="5"/>
  <c r="X2276" i="5"/>
  <c r="X2262" i="5"/>
  <c r="R2262" i="5"/>
  <c r="X2131" i="5"/>
  <c r="R2131" i="5"/>
  <c r="X2119" i="5"/>
  <c r="R2119" i="5"/>
  <c r="R2136" i="5"/>
  <c r="X2136" i="5"/>
  <c r="X2050" i="5"/>
  <c r="R2050" i="5"/>
  <c r="X2219" i="5"/>
  <c r="R2219" i="5"/>
  <c r="R2103" i="5"/>
  <c r="X2103" i="5"/>
  <c r="R2076" i="5"/>
  <c r="X2076" i="5"/>
  <c r="R2148" i="5"/>
  <c r="X2148" i="5"/>
  <c r="R2006" i="5"/>
  <c r="X2006" i="5"/>
  <c r="X1868" i="5"/>
  <c r="R1868" i="5"/>
  <c r="R1986" i="5"/>
  <c r="X1986" i="5"/>
  <c r="R1954" i="5"/>
  <c r="X1954" i="5"/>
  <c r="X1817" i="5"/>
  <c r="R1817" i="5"/>
  <c r="X1799" i="5"/>
  <c r="R1799" i="5"/>
  <c r="R1950" i="5"/>
  <c r="X1950" i="5"/>
  <c r="R1938" i="5"/>
  <c r="X1938" i="5"/>
  <c r="X1812" i="5"/>
  <c r="R1812" i="5"/>
  <c r="X1755" i="5"/>
  <c r="R1755" i="5"/>
  <c r="R1739" i="5"/>
  <c r="X1739" i="5"/>
  <c r="X1744" i="5"/>
  <c r="R1744" i="5"/>
  <c r="R1651" i="5"/>
  <c r="X1651" i="5"/>
  <c r="X1409" i="5"/>
  <c r="R1409" i="5"/>
  <c r="R1421" i="5"/>
  <c r="X1421" i="5"/>
  <c r="R1405" i="5"/>
  <c r="X1405" i="5"/>
  <c r="R1599" i="5"/>
  <c r="X1599" i="5"/>
  <c r="R1567" i="5"/>
  <c r="X1567" i="5"/>
  <c r="R1719" i="5"/>
  <c r="X1719" i="5"/>
  <c r="R1374" i="5"/>
  <c r="X1374" i="5"/>
  <c r="X1375" i="5"/>
  <c r="R1375" i="5"/>
  <c r="X1544" i="5"/>
  <c r="R1544" i="5"/>
  <c r="R1243" i="5"/>
  <c r="X1243" i="5"/>
  <c r="R1211" i="5"/>
  <c r="X1211" i="5"/>
  <c r="R1179" i="5"/>
  <c r="X1179" i="5"/>
  <c r="R1608" i="5"/>
  <c r="X1608" i="5"/>
  <c r="R1521" i="5"/>
  <c r="X1521" i="5"/>
  <c r="R1580" i="5"/>
  <c r="X1580" i="5"/>
  <c r="X1436" i="5"/>
  <c r="R1436" i="5"/>
  <c r="X1228" i="5"/>
  <c r="R1228" i="5"/>
  <c r="X1196" i="5"/>
  <c r="R1196" i="5"/>
  <c r="X1164" i="5"/>
  <c r="R1164" i="5"/>
  <c r="X1215" i="5"/>
  <c r="R1215" i="5"/>
  <c r="R1378" i="5"/>
  <c r="X1378" i="5"/>
  <c r="X1146" i="5"/>
  <c r="R1146" i="5"/>
  <c r="R1564" i="5"/>
  <c r="X1564" i="5"/>
  <c r="X1496" i="5"/>
  <c r="R1496" i="5"/>
  <c r="X1124" i="5"/>
  <c r="R1124" i="5"/>
  <c r="R1319" i="5"/>
  <c r="X1319" i="5"/>
  <c r="R1287" i="5"/>
  <c r="X1287" i="5"/>
  <c r="R1255" i="5"/>
  <c r="X1255" i="5"/>
  <c r="R1647" i="5"/>
  <c r="X1647" i="5"/>
  <c r="X1194" i="5"/>
  <c r="R1194" i="5"/>
  <c r="X1226" i="5"/>
  <c r="R1226" i="5"/>
  <c r="X1088" i="5"/>
  <c r="R1088" i="5"/>
  <c r="X1024" i="5"/>
  <c r="R1024" i="5"/>
  <c r="X1206" i="5"/>
  <c r="R1206" i="5"/>
  <c r="X1084" i="5"/>
  <c r="R1084" i="5"/>
  <c r="X1266" i="5"/>
  <c r="R1266" i="5"/>
  <c r="X968" i="5"/>
  <c r="R968" i="5"/>
  <c r="X989" i="5"/>
  <c r="R989" i="5"/>
  <c r="X1065" i="5"/>
  <c r="R1065" i="5"/>
  <c r="R866" i="5"/>
  <c r="X866" i="5"/>
  <c r="X859" i="5"/>
  <c r="R859" i="5"/>
  <c r="X980" i="5"/>
  <c r="R980" i="5"/>
  <c r="X879" i="5"/>
  <c r="R879" i="5"/>
  <c r="X653" i="5"/>
  <c r="R653" i="5"/>
  <c r="X621" i="5"/>
  <c r="R621" i="5"/>
  <c r="R575" i="5"/>
  <c r="R545" i="5"/>
  <c r="R473" i="5"/>
  <c r="R517" i="5"/>
  <c r="R475" i="5"/>
  <c r="R525" i="5"/>
  <c r="R477" i="5"/>
  <c r="R585" i="5"/>
  <c r="R346" i="5"/>
  <c r="R366" i="5"/>
  <c r="R390" i="5"/>
  <c r="R386" i="5"/>
  <c r="R367" i="5"/>
  <c r="R342" i="5"/>
  <c r="R296" i="5"/>
  <c r="R288" i="5"/>
  <c r="R280" i="5"/>
  <c r="R272" i="5"/>
  <c r="R264" i="5"/>
  <c r="R256" i="5"/>
  <c r="R248" i="5"/>
  <c r="R240" i="5"/>
  <c r="R232" i="5"/>
  <c r="R224" i="5"/>
  <c r="R382" i="5"/>
  <c r="T382" i="5"/>
  <c r="R359" i="5"/>
  <c r="R196" i="5"/>
  <c r="R208" i="5"/>
  <c r="R144" i="5"/>
  <c r="B50" i="4"/>
  <c r="A34" i="6"/>
  <c r="X2487" i="5"/>
  <c r="R2487" i="5"/>
  <c r="R2467" i="5"/>
  <c r="X2467" i="5"/>
  <c r="R2500" i="5"/>
  <c r="X2419" i="5"/>
  <c r="R2419" i="5"/>
  <c r="X2269" i="5"/>
  <c r="R2269" i="5"/>
  <c r="X2259" i="5"/>
  <c r="R2259" i="5"/>
  <c r="R2226" i="5"/>
  <c r="X2226" i="5"/>
  <c r="R2214" i="5"/>
  <c r="X2214" i="5"/>
  <c r="X2127" i="5"/>
  <c r="R2127" i="5"/>
  <c r="X2102" i="5"/>
  <c r="R2102" i="5"/>
  <c r="R1994" i="5"/>
  <c r="X1994" i="5"/>
  <c r="X1865" i="5"/>
  <c r="R1865" i="5"/>
  <c r="R1942" i="5"/>
  <c r="X1942" i="5"/>
  <c r="R2022" i="5"/>
  <c r="X2022" i="5"/>
  <c r="X1904" i="5"/>
  <c r="R1904" i="5"/>
  <c r="X1779" i="5"/>
  <c r="R1779" i="5"/>
  <c r="X1821" i="5"/>
  <c r="R1821" i="5"/>
  <c r="R1910" i="5"/>
  <c r="X1910" i="5"/>
  <c r="X1804" i="5"/>
  <c r="R1804" i="5"/>
  <c r="X1800" i="5"/>
  <c r="R1800" i="5"/>
  <c r="X1792" i="5"/>
  <c r="R1792" i="5"/>
  <c r="X1784" i="5"/>
  <c r="R1784" i="5"/>
  <c r="X1776" i="5"/>
  <c r="R1776" i="5"/>
  <c r="X1710" i="5"/>
  <c r="R1710" i="5"/>
  <c r="X1678" i="5"/>
  <c r="R1678" i="5"/>
  <c r="X1662" i="5"/>
  <c r="R1662" i="5"/>
  <c r="X1630" i="5"/>
  <c r="R1630" i="5"/>
  <c r="X1598" i="5"/>
  <c r="R1598" i="5"/>
  <c r="X1566" i="5"/>
  <c r="R1566" i="5"/>
  <c r="R1862" i="5"/>
  <c r="X1862" i="5"/>
  <c r="X1772" i="5"/>
  <c r="R1772" i="5"/>
  <c r="R1603" i="5"/>
  <c r="X1603" i="5"/>
  <c r="X1536" i="5"/>
  <c r="R1536" i="5"/>
  <c r="X1391" i="5"/>
  <c r="R1391" i="5"/>
  <c r="X1203" i="5"/>
  <c r="R1203" i="5"/>
  <c r="R1376" i="5"/>
  <c r="X1376" i="5"/>
  <c r="X1234" i="5"/>
  <c r="R1234" i="5"/>
  <c r="X1112" i="5"/>
  <c r="R1112" i="5"/>
  <c r="X1080" i="5"/>
  <c r="R1080" i="5"/>
  <c r="X1048" i="5"/>
  <c r="R1048" i="5"/>
  <c r="X1032" i="5"/>
  <c r="R1032" i="5"/>
  <c r="R1489" i="5"/>
  <c r="X1489" i="5"/>
  <c r="X916" i="5"/>
  <c r="R916" i="5"/>
  <c r="X956" i="5"/>
  <c r="R956" i="5"/>
  <c r="X871" i="5"/>
  <c r="R871" i="5"/>
  <c r="R874" i="5"/>
  <c r="X874" i="5"/>
  <c r="X853" i="5"/>
  <c r="R853" i="5"/>
  <c r="X818" i="5"/>
  <c r="R818" i="5"/>
  <c r="X625" i="5"/>
  <c r="R625" i="5"/>
  <c r="X687" i="5"/>
  <c r="R687" i="5"/>
  <c r="X667" i="5"/>
  <c r="R667" i="5"/>
  <c r="X651" i="5"/>
  <c r="R651" i="5"/>
  <c r="X635" i="5"/>
  <c r="R635" i="5"/>
  <c r="X619" i="5"/>
  <c r="R619" i="5"/>
  <c r="R603" i="5"/>
  <c r="T603" i="5"/>
  <c r="R565" i="5"/>
  <c r="R501" i="5"/>
  <c r="R557" i="5"/>
  <c r="R462" i="5"/>
  <c r="R460" i="5"/>
  <c r="R375" i="5"/>
  <c r="R124" i="5"/>
  <c r="X2463" i="5"/>
  <c r="R2463" i="5"/>
  <c r="X2323" i="5"/>
  <c r="R2323" i="5"/>
  <c r="X2300" i="5"/>
  <c r="R2300" i="5"/>
  <c r="R2168" i="5"/>
  <c r="X2168" i="5"/>
  <c r="X2074" i="5"/>
  <c r="R2074" i="5"/>
  <c r="R2060" i="5"/>
  <c r="X2060" i="5"/>
  <c r="R2088" i="5"/>
  <c r="X2088" i="5"/>
  <c r="R2042" i="5"/>
  <c r="X2042" i="5"/>
  <c r="R1822" i="5"/>
  <c r="X1822" i="5"/>
  <c r="X1841" i="5"/>
  <c r="R1841" i="5"/>
  <c r="X1775" i="5"/>
  <c r="R1775" i="5"/>
  <c r="R1703" i="5"/>
  <c r="X1703" i="5"/>
  <c r="R1727" i="5"/>
  <c r="X1727" i="5"/>
  <c r="R1591" i="5"/>
  <c r="X1591" i="5"/>
  <c r="R1559" i="5"/>
  <c r="X1559" i="5"/>
  <c r="R1348" i="5"/>
  <c r="X1348" i="5"/>
  <c r="R1370" i="5"/>
  <c r="X1370" i="5"/>
  <c r="X1473" i="5"/>
  <c r="R1473" i="5"/>
  <c r="X1400" i="5"/>
  <c r="R1400" i="5"/>
  <c r="R1327" i="5"/>
  <c r="X1327" i="5"/>
  <c r="X1072" i="5"/>
  <c r="R1072" i="5"/>
  <c r="X1008" i="5"/>
  <c r="R1008" i="5"/>
  <c r="X1100" i="5"/>
  <c r="R1100" i="5"/>
  <c r="X1017" i="5"/>
  <c r="R1017" i="5"/>
  <c r="X1129" i="5"/>
  <c r="R1129" i="5"/>
  <c r="X1113" i="5"/>
  <c r="R1113" i="5"/>
  <c r="X841" i="5"/>
  <c r="R841" i="5"/>
  <c r="R579" i="5"/>
  <c r="R465" i="5"/>
  <c r="R561" i="5"/>
  <c r="R549" i="5"/>
  <c r="R489" i="5"/>
  <c r="R434" i="5"/>
  <c r="R426" i="5"/>
  <c r="R370" i="5"/>
  <c r="R358" i="5"/>
  <c r="X2406" i="5"/>
  <c r="R2406" i="5"/>
  <c r="R2440" i="5"/>
  <c r="X2440" i="5"/>
  <c r="H22" i="6"/>
  <c r="D22" i="6"/>
  <c r="X2485" i="5"/>
  <c r="R2485" i="5"/>
  <c r="R2444" i="5"/>
  <c r="X2444" i="5"/>
  <c r="X2362" i="5"/>
  <c r="R2362" i="5"/>
  <c r="R2416" i="5"/>
  <c r="X2416" i="5"/>
  <c r="R2428" i="5"/>
  <c r="X2428" i="5"/>
  <c r="X2411" i="5"/>
  <c r="R2411" i="5"/>
  <c r="R2332" i="5"/>
  <c r="X2332" i="5"/>
  <c r="X2336" i="5"/>
  <c r="R2336" i="5"/>
  <c r="R2296" i="5"/>
  <c r="X2296" i="5"/>
  <c r="X2246" i="5"/>
  <c r="R2246" i="5"/>
  <c r="X2208" i="5"/>
  <c r="R2208" i="5"/>
  <c r="X2298" i="5"/>
  <c r="R2298" i="5"/>
  <c r="R2304" i="5"/>
  <c r="X2304" i="5"/>
  <c r="X2234" i="5"/>
  <c r="R2234" i="5"/>
  <c r="X2242" i="5"/>
  <c r="R2242" i="5"/>
  <c r="R2140" i="5"/>
  <c r="X2140" i="5"/>
  <c r="X2124" i="5"/>
  <c r="R2124" i="5"/>
  <c r="X2110" i="5"/>
  <c r="R2110" i="5"/>
  <c r="X2094" i="5"/>
  <c r="R2094" i="5"/>
  <c r="X2235" i="5"/>
  <c r="R2235" i="5"/>
  <c r="X2278" i="5"/>
  <c r="R2278" i="5"/>
  <c r="X2071" i="5"/>
  <c r="R2071" i="5"/>
  <c r="R2052" i="5"/>
  <c r="X2052" i="5"/>
  <c r="X1864" i="5"/>
  <c r="R1864" i="5"/>
  <c r="R2030" i="5"/>
  <c r="X2030" i="5"/>
  <c r="R1857" i="5"/>
  <c r="X1857" i="5"/>
  <c r="R2010" i="5"/>
  <c r="X2010" i="5"/>
  <c r="R1990" i="5"/>
  <c r="X1990" i="5"/>
  <c r="R1866" i="5"/>
  <c r="X1866" i="5"/>
  <c r="R1870" i="5"/>
  <c r="X1870" i="5"/>
  <c r="R1854" i="5"/>
  <c r="X1854" i="5"/>
  <c r="X1795" i="5"/>
  <c r="R1795" i="5"/>
  <c r="X1831" i="5"/>
  <c r="R1831" i="5"/>
  <c r="R1733" i="5"/>
  <c r="X1733" i="5"/>
  <c r="X1718" i="5"/>
  <c r="R1718" i="5"/>
  <c r="X1702" i="5"/>
  <c r="R1702" i="5"/>
  <c r="X1686" i="5"/>
  <c r="R1686" i="5"/>
  <c r="X1670" i="5"/>
  <c r="R1670" i="5"/>
  <c r="X1654" i="5"/>
  <c r="R1654" i="5"/>
  <c r="X1638" i="5"/>
  <c r="R1638" i="5"/>
  <c r="X1622" i="5"/>
  <c r="R1622" i="5"/>
  <c r="X1606" i="5"/>
  <c r="R1606" i="5"/>
  <c r="X1590" i="5"/>
  <c r="R1590" i="5"/>
  <c r="X1574" i="5"/>
  <c r="R1574" i="5"/>
  <c r="X1558" i="5"/>
  <c r="R1558" i="5"/>
  <c r="R1931" i="5"/>
  <c r="X1931" i="5"/>
  <c r="X1759" i="5"/>
  <c r="R1759" i="5"/>
  <c r="X1839" i="5"/>
  <c r="R1839" i="5"/>
  <c r="R1707" i="5"/>
  <c r="X1707" i="5"/>
  <c r="R1635" i="5"/>
  <c r="X1635" i="5"/>
  <c r="X1835" i="5"/>
  <c r="R1835" i="5"/>
  <c r="R1723" i="5"/>
  <c r="X1723" i="5"/>
  <c r="X1832" i="5"/>
  <c r="R1832" i="5"/>
  <c r="R1547" i="5"/>
  <c r="X1547" i="5"/>
  <c r="R1810" i="5"/>
  <c r="X1810" i="5"/>
  <c r="R1429" i="5"/>
  <c r="X1429" i="5"/>
  <c r="R1619" i="5"/>
  <c r="X1619" i="5"/>
  <c r="R1587" i="5"/>
  <c r="X1587" i="5"/>
  <c r="R1555" i="5"/>
  <c r="X1555" i="5"/>
  <c r="R1533" i="5"/>
  <c r="X1533" i="5"/>
  <c r="X1440" i="5"/>
  <c r="R1440" i="5"/>
  <c r="R1505" i="5"/>
  <c r="X1505" i="5"/>
  <c r="X1343" i="5"/>
  <c r="R1343" i="5"/>
  <c r="X1223" i="5"/>
  <c r="R1223" i="5"/>
  <c r="R1616" i="5"/>
  <c r="X1616" i="5"/>
  <c r="X1247" i="5"/>
  <c r="R1247" i="5"/>
  <c r="X1460" i="5"/>
  <c r="R1460" i="5"/>
  <c r="X1750" i="5"/>
  <c r="R1750" i="5"/>
  <c r="R1251" i="5"/>
  <c r="X1251" i="5"/>
  <c r="R1568" i="5"/>
  <c r="X1568" i="5"/>
  <c r="X1060" i="5"/>
  <c r="R1060" i="5"/>
  <c r="R1315" i="5"/>
  <c r="X1315" i="5"/>
  <c r="R1283" i="5"/>
  <c r="X1283" i="5"/>
  <c r="X1484" i="5"/>
  <c r="R1484" i="5"/>
  <c r="R1180" i="5"/>
  <c r="X1180" i="5"/>
  <c r="X996" i="5"/>
  <c r="R996" i="5"/>
  <c r="X952" i="5"/>
  <c r="R952" i="5"/>
  <c r="X976" i="5"/>
  <c r="R976" i="5"/>
  <c r="X1020" i="5"/>
  <c r="R1020" i="5"/>
  <c r="X928" i="5"/>
  <c r="R928" i="5"/>
  <c r="X892" i="5"/>
  <c r="R892" i="5"/>
  <c r="R847" i="5"/>
  <c r="X847" i="5"/>
  <c r="R839" i="5"/>
  <c r="X839" i="5"/>
  <c r="X845" i="5"/>
  <c r="R845" i="5"/>
  <c r="R970" i="5"/>
  <c r="X970" i="5"/>
  <c r="R811" i="5"/>
  <c r="X811" i="5"/>
  <c r="R918" i="5"/>
  <c r="X918" i="5"/>
  <c r="X1097" i="5"/>
  <c r="R1097" i="5"/>
  <c r="X833" i="5"/>
  <c r="R833" i="5"/>
  <c r="X673" i="5"/>
  <c r="R673" i="5"/>
  <c r="X641" i="5"/>
  <c r="R641" i="5"/>
  <c r="R609" i="5"/>
  <c r="X671" i="5"/>
  <c r="R671" i="5"/>
  <c r="X663" i="5"/>
  <c r="R663" i="5"/>
  <c r="X655" i="5"/>
  <c r="R655" i="5"/>
  <c r="X647" i="5"/>
  <c r="R647" i="5"/>
  <c r="X639" i="5"/>
  <c r="R639" i="5"/>
  <c r="X631" i="5"/>
  <c r="R631" i="5"/>
  <c r="X623" i="5"/>
  <c r="R623" i="5"/>
  <c r="X615" i="5"/>
  <c r="R615" i="5"/>
  <c r="R607" i="5"/>
  <c r="T607" i="5"/>
  <c r="R599" i="5"/>
  <c r="T599" i="5"/>
  <c r="R513" i="5"/>
  <c r="R554" i="5"/>
  <c r="R581" i="5"/>
  <c r="R505" i="5"/>
  <c r="R597" i="5"/>
  <c r="T597" i="5"/>
  <c r="R354" i="5"/>
  <c r="R316" i="5"/>
  <c r="R172" i="5"/>
  <c r="R160" i="5"/>
  <c r="R180" i="5"/>
  <c r="R200" i="5"/>
  <c r="R156" i="5"/>
  <c r="R308" i="5"/>
  <c r="R100" i="5"/>
  <c r="R312" i="5"/>
  <c r="R188" i="5"/>
  <c r="K67" i="6"/>
  <c r="D16" i="6"/>
  <c r="R2432" i="5"/>
  <c r="X2432" i="5"/>
  <c r="X2423" i="5"/>
  <c r="R2423" i="5"/>
  <c r="X2216" i="5"/>
  <c r="R2216" i="5"/>
  <c r="X2159" i="5"/>
  <c r="R2159" i="5"/>
  <c r="R2143" i="5"/>
  <c r="X2143" i="5"/>
  <c r="X1955" i="5"/>
  <c r="R1955" i="5"/>
  <c r="R1951" i="5"/>
  <c r="X1951" i="5"/>
  <c r="X1809" i="5"/>
  <c r="R1809" i="5"/>
  <c r="X1807" i="5"/>
  <c r="R1807" i="5"/>
  <c r="R1736" i="5"/>
  <c r="X1736" i="5"/>
  <c r="R1715" i="5"/>
  <c r="X1715" i="5"/>
  <c r="X2455" i="5"/>
  <c r="R2455" i="5"/>
  <c r="R1623" i="5"/>
  <c r="X1623" i="5"/>
  <c r="X1516" i="5"/>
  <c r="R1516" i="5"/>
  <c r="R1390" i="5"/>
  <c r="X1390" i="5"/>
  <c r="X1404" i="5"/>
  <c r="R1404" i="5"/>
  <c r="R1354" i="5"/>
  <c r="X1354" i="5"/>
  <c r="X1183" i="5"/>
  <c r="R1183" i="5"/>
  <c r="R1263" i="5"/>
  <c r="X1263" i="5"/>
  <c r="X1254" i="5"/>
  <c r="R1254" i="5"/>
  <c r="X1036" i="5"/>
  <c r="R1036" i="5"/>
  <c r="R1167" i="5"/>
  <c r="X1167" i="5"/>
  <c r="X923" i="5"/>
  <c r="R923" i="5"/>
  <c r="R854" i="5"/>
  <c r="X854" i="5"/>
  <c r="X613" i="5"/>
  <c r="R613" i="5"/>
  <c r="R497" i="5"/>
  <c r="R458" i="5"/>
  <c r="R450" i="5"/>
  <c r="R418" i="5"/>
  <c r="R406" i="5"/>
  <c r="R148" i="5"/>
  <c r="A14" i="6"/>
  <c r="B32" i="4"/>
  <c r="A19" i="6" s="1"/>
  <c r="X2471" i="5"/>
  <c r="R2471" i="5"/>
  <c r="R2486" i="5"/>
  <c r="X2486" i="5"/>
  <c r="X2402" i="5"/>
  <c r="R2402" i="5"/>
  <c r="R2478" i="5"/>
  <c r="X2478" i="5"/>
  <c r="X2490" i="5"/>
  <c r="R2490" i="5"/>
  <c r="X2343" i="5"/>
  <c r="R2343" i="5"/>
  <c r="X2335" i="5"/>
  <c r="R2335" i="5"/>
  <c r="X2328" i="5"/>
  <c r="R2328" i="5"/>
  <c r="R2283" i="5"/>
  <c r="X2283" i="5"/>
  <c r="X2250" i="5"/>
  <c r="R2250" i="5"/>
  <c r="R2167" i="5"/>
  <c r="X2167" i="5"/>
  <c r="X2058" i="5"/>
  <c r="R2058" i="5"/>
  <c r="X2211" i="5"/>
  <c r="R2211" i="5"/>
  <c r="R2120" i="5"/>
  <c r="X2120" i="5"/>
  <c r="R2095" i="5"/>
  <c r="X2095" i="5"/>
  <c r="R2175" i="5"/>
  <c r="X2175" i="5"/>
  <c r="X1946" i="5"/>
  <c r="R1946" i="5"/>
  <c r="X1860" i="5"/>
  <c r="R1860" i="5"/>
  <c r="R1853" i="5"/>
  <c r="X1853" i="5"/>
  <c r="R1930" i="5"/>
  <c r="X1930" i="5"/>
  <c r="R1918" i="5"/>
  <c r="X1918" i="5"/>
  <c r="R1834" i="5"/>
  <c r="X1834" i="5"/>
  <c r="X1791" i="5"/>
  <c r="R1791" i="5"/>
  <c r="X1814" i="5"/>
  <c r="R1814" i="5"/>
  <c r="R1982" i="5"/>
  <c r="X1982" i="5"/>
  <c r="R2002" i="5"/>
  <c r="X2002" i="5"/>
  <c r="X1746" i="5"/>
  <c r="R1746" i="5"/>
  <c r="R2014" i="5"/>
  <c r="X2014" i="5"/>
  <c r="R1639" i="5"/>
  <c r="X1639" i="5"/>
  <c r="R1858" i="5"/>
  <c r="X1858" i="5"/>
  <c r="R1731" i="5"/>
  <c r="X1731" i="5"/>
  <c r="R1417" i="5"/>
  <c r="X1417" i="5"/>
  <c r="X1734" i="5"/>
  <c r="R1734" i="5"/>
  <c r="X1437" i="5"/>
  <c r="R1437" i="5"/>
  <c r="R1607" i="5"/>
  <c r="X1607" i="5"/>
  <c r="R1575" i="5"/>
  <c r="X1575" i="5"/>
  <c r="R1358" i="5"/>
  <c r="X1358" i="5"/>
  <c r="R1340" i="5"/>
  <c r="X1340" i="5"/>
  <c r="X1500" i="5"/>
  <c r="R1500" i="5"/>
  <c r="R1362" i="5"/>
  <c r="X1362" i="5"/>
  <c r="R1382" i="5"/>
  <c r="X1382" i="5"/>
  <c r="X1191" i="5"/>
  <c r="R1191" i="5"/>
  <c r="X1441" i="5"/>
  <c r="R1441" i="5"/>
  <c r="R1141" i="5"/>
  <c r="X1141" i="5"/>
  <c r="R1388" i="5"/>
  <c r="X1388" i="5"/>
  <c r="R1311" i="5"/>
  <c r="X1311" i="5"/>
  <c r="R1279" i="5"/>
  <c r="X1279" i="5"/>
  <c r="X984" i="5"/>
  <c r="R984" i="5"/>
  <c r="R1600" i="5"/>
  <c r="X1600" i="5"/>
  <c r="X1170" i="5"/>
  <c r="R1170" i="5"/>
  <c r="X1104" i="5"/>
  <c r="R1104" i="5"/>
  <c r="X1040" i="5"/>
  <c r="R1040" i="5"/>
  <c r="X1258" i="5"/>
  <c r="R1258" i="5"/>
  <c r="X1068" i="5"/>
  <c r="R1068" i="5"/>
  <c r="X1005" i="5"/>
  <c r="R1005" i="5"/>
  <c r="X947" i="5"/>
  <c r="R947" i="5"/>
  <c r="X1188" i="5"/>
  <c r="R1188" i="5"/>
  <c r="R1144" i="5"/>
  <c r="X1144" i="5"/>
  <c r="R898" i="5"/>
  <c r="X898" i="5"/>
  <c r="X903" i="5"/>
  <c r="R903" i="5"/>
  <c r="R886" i="5"/>
  <c r="X886" i="5"/>
  <c r="X661" i="5"/>
  <c r="R661" i="5"/>
  <c r="X629" i="5"/>
  <c r="R629" i="5"/>
  <c r="R587" i="5"/>
  <c r="R571" i="5"/>
  <c r="R589" i="5"/>
  <c r="R485" i="5"/>
  <c r="R553" i="5"/>
  <c r="R454" i="5"/>
  <c r="R446" i="5"/>
  <c r="R438" i="5"/>
  <c r="R430" i="5"/>
  <c r="R422" i="5"/>
  <c r="R414" i="5"/>
  <c r="R164" i="5"/>
  <c r="R339" i="5"/>
  <c r="R152" i="5"/>
  <c r="R212" i="5"/>
  <c r="R168" i="5"/>
  <c r="X2430" i="5"/>
  <c r="R2430" i="5"/>
  <c r="X2435" i="5"/>
  <c r="R2435" i="5"/>
  <c r="R2496" i="5"/>
  <c r="X2415" i="5"/>
  <c r="R2415" i="5"/>
  <c r="R2391" i="5"/>
  <c r="X2391" i="5"/>
  <c r="R2352" i="5"/>
  <c r="X2352" i="5"/>
  <c r="X2377" i="5"/>
  <c r="R2377" i="5"/>
  <c r="X2361" i="5"/>
  <c r="R2361" i="5"/>
  <c r="X2275" i="5"/>
  <c r="R2275" i="5"/>
  <c r="R2384" i="5"/>
  <c r="X2384" i="5"/>
  <c r="R2230" i="5"/>
  <c r="X2230" i="5"/>
  <c r="X2231" i="5"/>
  <c r="R2231" i="5"/>
  <c r="X2183" i="5"/>
  <c r="R2183" i="5"/>
  <c r="X2163" i="5"/>
  <c r="R2163" i="5"/>
  <c r="X2106" i="5"/>
  <c r="R2106" i="5"/>
  <c r="X2090" i="5"/>
  <c r="R2090" i="5"/>
  <c r="R2147" i="5"/>
  <c r="X2147" i="5"/>
  <c r="R2144" i="5"/>
  <c r="X2144" i="5"/>
  <c r="R2107" i="5"/>
  <c r="X2107" i="5"/>
  <c r="R2068" i="5"/>
  <c r="X2068" i="5"/>
  <c r="X2049" i="5"/>
  <c r="R2049" i="5"/>
  <c r="R1962" i="5"/>
  <c r="X1962" i="5"/>
  <c r="X1856" i="5"/>
  <c r="R1856" i="5"/>
  <c r="X1869" i="5"/>
  <c r="R1869" i="5"/>
  <c r="R1849" i="5"/>
  <c r="X1849" i="5"/>
  <c r="X1829" i="5"/>
  <c r="R1829" i="5"/>
  <c r="X1787" i="5"/>
  <c r="R1787" i="5"/>
  <c r="R1922" i="5"/>
  <c r="X1922" i="5"/>
  <c r="X1896" i="5"/>
  <c r="R1896" i="5"/>
  <c r="R1743" i="5"/>
  <c r="X1743" i="5"/>
  <c r="X1740" i="5"/>
  <c r="R1740" i="5"/>
  <c r="X1730" i="5"/>
  <c r="R1730" i="5"/>
  <c r="X1714" i="5"/>
  <c r="R1714" i="5"/>
  <c r="X1698" i="5"/>
  <c r="R1698" i="5"/>
  <c r="X1682" i="5"/>
  <c r="R1682" i="5"/>
  <c r="X1666" i="5"/>
  <c r="R1666" i="5"/>
  <c r="X1650" i="5"/>
  <c r="R1650" i="5"/>
  <c r="X1634" i="5"/>
  <c r="R1634" i="5"/>
  <c r="X1618" i="5"/>
  <c r="R1618" i="5"/>
  <c r="X1602" i="5"/>
  <c r="R1602" i="5"/>
  <c r="X1586" i="5"/>
  <c r="R1586" i="5"/>
  <c r="X1570" i="5"/>
  <c r="R1570" i="5"/>
  <c r="X1554" i="5"/>
  <c r="R1554" i="5"/>
  <c r="R1850" i="5"/>
  <c r="X1850" i="5"/>
  <c r="R1643" i="5"/>
  <c r="X1643" i="5"/>
  <c r="X1767" i="5"/>
  <c r="R1767" i="5"/>
  <c r="R1695" i="5"/>
  <c r="X1695" i="5"/>
  <c r="R1631" i="5"/>
  <c r="X1631" i="5"/>
  <c r="X1760" i="5"/>
  <c r="R1760" i="5"/>
  <c r="R1683" i="5"/>
  <c r="X1683" i="5"/>
  <c r="X1540" i="5"/>
  <c r="R1540" i="5"/>
  <c r="R1433" i="5"/>
  <c r="X1433" i="5"/>
  <c r="R1425" i="5"/>
  <c r="X1425" i="5"/>
  <c r="R1595" i="5"/>
  <c r="X1595" i="5"/>
  <c r="R1563" i="5"/>
  <c r="X1563" i="5"/>
  <c r="X1472" i="5"/>
  <c r="R1472" i="5"/>
  <c r="X1444" i="5"/>
  <c r="R1444" i="5"/>
  <c r="R1415" i="5"/>
  <c r="X1415" i="5"/>
  <c r="X1359" i="5"/>
  <c r="R1359" i="5"/>
  <c r="X1420" i="5"/>
  <c r="R1420" i="5"/>
  <c r="R1576" i="5"/>
  <c r="X1576" i="5"/>
  <c r="X1428" i="5"/>
  <c r="R1428" i="5"/>
  <c r="X1159" i="5"/>
  <c r="R1159" i="5"/>
  <c r="X1150" i="5"/>
  <c r="R1150" i="5"/>
  <c r="R1239" i="5"/>
  <c r="X1239" i="5"/>
  <c r="R1175" i="5"/>
  <c r="X1175" i="5"/>
  <c r="R1556" i="5"/>
  <c r="X1556" i="5"/>
  <c r="X1076" i="5"/>
  <c r="R1076" i="5"/>
  <c r="R1307" i="5"/>
  <c r="X1307" i="5"/>
  <c r="R1275" i="5"/>
  <c r="X1275" i="5"/>
  <c r="X1457" i="5"/>
  <c r="R1457" i="5"/>
  <c r="X1000" i="5"/>
  <c r="R1000" i="5"/>
  <c r="X1334" i="5"/>
  <c r="R1334" i="5"/>
  <c r="X1326" i="5"/>
  <c r="R1326" i="5"/>
  <c r="X1318" i="5"/>
  <c r="R1318" i="5"/>
  <c r="X1310" i="5"/>
  <c r="R1310" i="5"/>
  <c r="X1302" i="5"/>
  <c r="R1302" i="5"/>
  <c r="X1294" i="5"/>
  <c r="R1294" i="5"/>
  <c r="X1286" i="5"/>
  <c r="R1286" i="5"/>
  <c r="X1278" i="5"/>
  <c r="R1278" i="5"/>
  <c r="X1270" i="5"/>
  <c r="R1270" i="5"/>
  <c r="X944" i="5"/>
  <c r="R944" i="5"/>
  <c r="X1262" i="5"/>
  <c r="R1262" i="5"/>
  <c r="X1021" i="5"/>
  <c r="R1021" i="5"/>
  <c r="R946" i="5"/>
  <c r="X946" i="5"/>
  <c r="R958" i="5"/>
  <c r="X958" i="5"/>
  <c r="X1347" i="5"/>
  <c r="R1347" i="5"/>
  <c r="R950" i="5"/>
  <c r="X950" i="5"/>
  <c r="R1153" i="5"/>
  <c r="X1153" i="5"/>
  <c r="R882" i="5"/>
  <c r="X882" i="5"/>
  <c r="R902" i="5"/>
  <c r="X902" i="5"/>
  <c r="R890" i="5"/>
  <c r="X890" i="5"/>
  <c r="X977" i="5"/>
  <c r="R977" i="5"/>
  <c r="X849" i="5"/>
  <c r="R849" i="5"/>
  <c r="X649" i="5"/>
  <c r="R649" i="5"/>
  <c r="X617" i="5"/>
  <c r="R617" i="5"/>
  <c r="X703" i="5"/>
  <c r="R703" i="5"/>
  <c r="R593" i="5"/>
  <c r="R481" i="5"/>
  <c r="R533" i="5"/>
  <c r="T533" i="5"/>
  <c r="R569" i="5"/>
  <c r="R573" i="5"/>
  <c r="R474" i="5"/>
  <c r="R350" i="5"/>
  <c r="R108" i="5"/>
  <c r="R128" i="5"/>
  <c r="R136" i="5"/>
  <c r="R320" i="5"/>
  <c r="R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T463" i="5"/>
  <c r="T562" i="5"/>
  <c r="T592" i="5"/>
  <c r="T306" i="5"/>
  <c r="T423" i="5"/>
  <c r="T279" i="5"/>
  <c r="T287" i="5"/>
  <c r="T588" i="5"/>
  <c r="T567" i="5"/>
  <c r="T486" i="5"/>
  <c r="T324" i="5"/>
  <c r="T276" i="5"/>
  <c r="T398" i="5"/>
  <c r="T502" i="5"/>
  <c r="T296" i="5"/>
  <c r="T264" i="5"/>
  <c r="T232" i="5"/>
  <c r="T501" i="5"/>
  <c r="T460" i="5"/>
  <c r="T553" i="5"/>
  <c r="T414" i="5"/>
  <c r="T100" i="5"/>
  <c r="T136"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20" i="5"/>
  <c r="S98" i="5"/>
  <c r="S134" i="5"/>
  <c r="S507" i="5"/>
  <c r="S34"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84" i="5"/>
  <c r="S107" i="5"/>
  <c r="S285" i="5"/>
  <c r="S40"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70" i="5"/>
  <c r="S301" i="5"/>
  <c r="S63" i="5"/>
  <c r="S64" i="5"/>
  <c r="S246" i="5"/>
  <c r="S254" i="5"/>
  <c r="S60" i="5"/>
  <c r="S206" i="5"/>
  <c r="S325" i="5"/>
  <c r="S527" i="5"/>
  <c r="S30" i="5"/>
  <c r="S369" i="5"/>
  <c r="S381" i="5"/>
  <c r="S24" i="5"/>
  <c r="S52" i="5"/>
  <c r="S309" i="5"/>
  <c r="T215" i="5"/>
  <c r="T391" i="5"/>
  <c r="T207" i="5"/>
  <c r="T407" i="5"/>
  <c r="T427" i="5"/>
  <c r="T191" i="5"/>
  <c r="T43" i="5"/>
  <c r="T576" i="5"/>
  <c r="T251" i="5"/>
  <c r="T334" i="5"/>
  <c r="T524" i="5"/>
  <c r="T541" i="5"/>
  <c r="T340" i="5"/>
  <c r="T374" i="5"/>
  <c r="T300" i="5"/>
  <c r="T268" i="5"/>
  <c r="T236" i="5"/>
  <c r="T538" i="5"/>
  <c r="T545" i="5"/>
  <c r="T390" i="5"/>
  <c r="T288" i="5"/>
  <c r="T256" i="5"/>
  <c r="T224" i="5"/>
  <c r="T375" i="5"/>
  <c r="T513" i="5"/>
  <c r="T354" i="5"/>
  <c r="T188" i="5"/>
  <c r="T573" i="5"/>
  <c r="T212" i="5"/>
  <c r="T320" i="5"/>
  <c r="X589" i="5"/>
  <c r="X354" i="5"/>
  <c r="X597" i="5"/>
  <c r="S597" i="5"/>
  <c r="X505" i="5"/>
  <c r="X599" i="5"/>
  <c r="S599" i="5"/>
  <c r="X465" i="5"/>
  <c r="X462" i="5"/>
  <c r="X346" i="5"/>
  <c r="X140" i="5"/>
  <c r="X493" i="5"/>
  <c r="X502" i="5"/>
  <c r="X611" i="5"/>
  <c r="S611" i="5"/>
  <c r="X220" i="5"/>
  <c r="X398" i="5"/>
  <c r="X538" i="5"/>
  <c r="X577" i="5"/>
  <c r="X601" i="5"/>
  <c r="S601" i="5"/>
  <c r="X402" i="5"/>
  <c r="X340" i="5"/>
  <c r="X466" i="5"/>
  <c r="X521"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59" i="5"/>
  <c r="X366" i="5"/>
  <c r="X517" i="5"/>
  <c r="X328" i="5"/>
  <c r="X506" i="5"/>
  <c r="X591" i="5"/>
  <c r="X204" i="5"/>
  <c r="X595" i="5"/>
  <c r="X411" i="5"/>
  <c r="X439" i="5"/>
  <c r="X600" i="5"/>
  <c r="S600" i="5"/>
  <c r="X447" i="5"/>
  <c r="X251" i="5"/>
  <c r="X365" i="5"/>
  <c r="X423" i="5"/>
  <c r="X191" i="5"/>
  <c r="X243" i="5"/>
  <c r="X403" i="5"/>
  <c r="X108" i="5"/>
  <c r="X481" i="5"/>
  <c r="X112" i="5"/>
  <c r="X569" i="5"/>
  <c r="X168" i="5"/>
  <c r="X164" i="5"/>
  <c r="X446" i="5"/>
  <c r="X553" i="5"/>
  <c r="X308" i="5"/>
  <c r="X200" i="5"/>
  <c r="X316" i="5"/>
  <c r="X144" i="5"/>
  <c r="X208" i="5"/>
  <c r="X382" i="5"/>
  <c r="S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S533" i="5"/>
  <c r="X438" i="5"/>
  <c r="X485" i="5"/>
  <c r="X148" i="5"/>
  <c r="X458" i="5"/>
  <c r="X513" i="5"/>
  <c r="X609" i="5"/>
  <c r="X561" i="5"/>
  <c r="X386" i="5"/>
  <c r="X545" i="5"/>
  <c r="X575" i="5"/>
  <c r="X216" i="5"/>
  <c r="X534" i="5"/>
  <c r="X355" i="5"/>
  <c r="S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132" i="5"/>
  <c r="X324" i="5"/>
  <c r="X509" i="5"/>
  <c r="X303" i="5"/>
  <c r="X211" i="5"/>
  <c r="X435" i="5"/>
  <c r="X576" i="5"/>
  <c r="X43" i="5"/>
  <c r="X215" i="5"/>
  <c r="X580" i="5"/>
  <c r="X201" i="5"/>
  <c r="X556" i="5"/>
  <c r="X87" i="5"/>
  <c r="X314" i="5"/>
  <c r="S314" i="5"/>
  <c r="X463" i="5"/>
  <c r="X136" i="5"/>
  <c r="X474" i="5"/>
  <c r="X593" i="5"/>
  <c r="X414" i="5"/>
  <c r="X160" i="5"/>
  <c r="X460" i="5"/>
  <c r="X196" i="5"/>
  <c r="X240" i="5"/>
  <c r="X272" i="5"/>
  <c r="X585" i="5"/>
  <c r="X120" i="5"/>
  <c r="X252" i="5"/>
  <c r="X284" i="5"/>
  <c r="X583" i="5"/>
  <c r="X419" i="5"/>
  <c r="X261" i="5"/>
  <c r="X415" i="5"/>
  <c r="X293" i="5"/>
  <c r="X239" i="5"/>
  <c r="X608" i="5"/>
  <c r="X71" i="5"/>
  <c r="X265" i="5"/>
  <c r="X574" i="5"/>
  <c r="D46" i="6"/>
  <c r="X100" i="5"/>
  <c r="D26" i="6"/>
  <c r="D21"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D31" i="6"/>
  <c r="R16" i="5"/>
  <c r="R10" i="5"/>
  <c r="R13" i="5"/>
  <c r="R7" i="5"/>
  <c r="R17" i="5"/>
  <c r="G66" i="6"/>
  <c r="D67" i="6"/>
  <c r="G65" i="6"/>
  <c r="R12" i="5"/>
  <c r="R9" i="5"/>
  <c r="R8" i="5"/>
  <c r="R15" i="5"/>
  <c r="R11" i="5"/>
  <c r="R14" i="5"/>
  <c r="T15" i="5"/>
  <c r="T16" i="5"/>
  <c r="T13" i="5"/>
  <c r="T17" i="5"/>
  <c r="T14" i="5"/>
  <c r="T12" i="5"/>
  <c r="T10" i="5"/>
  <c r="T7" i="5"/>
  <c r="T9" i="5"/>
  <c r="T11" i="5"/>
  <c r="T8" i="5"/>
  <c r="X13" i="5"/>
  <c r="X10" i="5"/>
  <c r="X9" i="5"/>
  <c r="X12" i="5"/>
  <c r="X14" i="5"/>
  <c r="X17" i="5"/>
  <c r="X11" i="5"/>
  <c r="X15" i="5"/>
  <c r="X8" i="5"/>
  <c r="X7" i="5"/>
  <c r="X16" i="5"/>
  <c r="S17" i="5"/>
  <c r="S16" i="5"/>
  <c r="S15" i="5"/>
  <c r="S14" i="5"/>
  <c r="F69" i="6"/>
  <c r="C69" i="6" s="1"/>
  <c r="G69" i="6" a="1"/>
  <c r="G69" i="6" s="1"/>
  <c r="B69" i="4"/>
  <c r="A50" i="6"/>
  <c r="C12" i="6"/>
  <c r="B33" i="4"/>
  <c r="A20" i="6"/>
  <c r="C11" i="6"/>
  <c r="C9" i="6"/>
  <c r="C10" i="6"/>
  <c r="C8" i="6"/>
  <c r="B34" i="4"/>
  <c r="A21" i="6"/>
  <c r="B71" i="4"/>
  <c r="A52" i="6"/>
  <c r="B65" i="4"/>
  <c r="A47" i="6"/>
  <c r="C7" i="6"/>
  <c r="B51" i="4"/>
  <c r="A35" i="6"/>
  <c r="B57" i="4"/>
  <c r="A40" i="6"/>
  <c r="C6" i="6"/>
  <c r="B63" i="4"/>
  <c r="A45" i="6"/>
  <c r="A24" i="6"/>
  <c r="G61" i="4"/>
  <c r="C17" i="6"/>
  <c r="C4" i="6"/>
  <c r="G67" i="4"/>
  <c r="H27" i="6"/>
  <c r="D27" i="6"/>
  <c r="F42" i="6"/>
  <c r="H42" i="6"/>
  <c r="D42" i="6"/>
  <c r="F68" i="6"/>
  <c r="H68" i="6"/>
  <c r="D68" i="6"/>
  <c r="F32" i="6"/>
  <c r="H32" i="6"/>
  <c r="F47" i="6"/>
  <c r="H47" i="6"/>
  <c r="D47" i="6"/>
  <c r="F52" i="6"/>
  <c r="H52" i="6"/>
  <c r="F37" i="6"/>
  <c r="H37" i="6"/>
  <c r="C47" i="6"/>
  <c r="K68" i="6"/>
  <c r="G37" i="4"/>
  <c r="B56" i="4"/>
  <c r="A39" i="6" s="1"/>
  <c r="G55" i="4"/>
  <c r="G31" i="4"/>
  <c r="C22" i="6"/>
  <c r="C27" i="6"/>
  <c r="F40" i="6"/>
  <c r="F45" i="6"/>
  <c r="B45" i="6"/>
  <c r="G45" i="6"/>
  <c r="H45" i="6"/>
  <c r="D45" i="6"/>
  <c r="F50" i="6"/>
  <c r="H50" i="6"/>
  <c r="D50" i="6"/>
  <c r="F35" i="6"/>
  <c r="H35" i="6"/>
  <c r="D35" i="6"/>
  <c r="F66" i="6"/>
  <c r="H66" i="6"/>
  <c r="F30" i="6"/>
  <c r="K66" i="6"/>
  <c r="D15" i="6"/>
  <c r="B59" i="4"/>
  <c r="A42" i="6" s="1"/>
  <c r="B53" i="4"/>
  <c r="A37" i="6"/>
  <c r="B62" i="4"/>
  <c r="A44" i="6"/>
  <c r="G74" i="4"/>
  <c r="C20" i="6"/>
  <c r="B25" i="6"/>
  <c r="G25" i="6"/>
  <c r="H25" i="6"/>
  <c r="B40" i="6"/>
  <c r="G40" i="6"/>
  <c r="B30" i="6"/>
  <c r="G30" i="6"/>
  <c r="D14" i="6"/>
  <c r="C14" i="6"/>
  <c r="B43" i="4"/>
  <c r="A28" i="6"/>
  <c r="B89" i="4"/>
  <c r="A63" i="6"/>
  <c r="B55" i="4"/>
  <c r="A38" i="6"/>
  <c r="B67" i="4"/>
  <c r="A48" i="6"/>
  <c r="F19" i="6"/>
  <c r="B61" i="4"/>
  <c r="A43" i="6"/>
  <c r="B64" i="4"/>
  <c r="A46" i="6" s="1"/>
  <c r="D55" i="4"/>
  <c r="B77" i="4"/>
  <c r="A55" i="6"/>
  <c r="B75" i="4"/>
  <c r="A54" i="6"/>
  <c r="B79" i="4"/>
  <c r="A57" i="6"/>
  <c r="B19" i="6"/>
  <c r="B70" i="4"/>
  <c r="A51" i="6"/>
  <c r="D43" i="4"/>
  <c r="B85" i="4"/>
  <c r="A60" i="6"/>
  <c r="B81" i="4"/>
  <c r="A58" i="6"/>
  <c r="B37" i="4"/>
  <c r="A23" i="6" s="1"/>
  <c r="B83" i="4"/>
  <c r="A59" i="6"/>
  <c r="B87" i="4"/>
  <c r="A62" i="6" s="1"/>
  <c r="B58" i="4"/>
  <c r="A41" i="6"/>
  <c r="A26" i="6"/>
  <c r="D67" i="4"/>
  <c r="D61" i="4"/>
  <c r="B35" i="4"/>
  <c r="A22" i="6"/>
  <c r="D31" i="4"/>
  <c r="D37" i="4"/>
  <c r="D49" i="4"/>
  <c r="C68" i="6"/>
  <c r="C42" i="6"/>
  <c r="D32" i="6"/>
  <c r="C32" i="6"/>
  <c r="D37" i="6"/>
  <c r="C37" i="6"/>
  <c r="D52" i="6"/>
  <c r="C25" i="6"/>
  <c r="D25" i="6"/>
  <c r="C35" i="6"/>
  <c r="H30" i="6"/>
  <c r="D66" i="6"/>
  <c r="C66" i="6"/>
  <c r="H40" i="6"/>
  <c r="B34" i="6"/>
  <c r="G34" i="6"/>
  <c r="G19" i="6"/>
  <c r="B24" i="6"/>
  <c r="G24" i="6"/>
  <c r="H19" i="6"/>
  <c r="F24" i="6"/>
  <c r="B44" i="6"/>
  <c r="G44" i="6"/>
  <c r="B49" i="6"/>
  <c r="G49" i="6"/>
  <c r="B29" i="6"/>
  <c r="G29" i="6"/>
  <c r="B39" i="6"/>
  <c r="G39" i="6"/>
  <c r="C30" i="6"/>
  <c r="D30" i="6"/>
  <c r="D40" i="6"/>
  <c r="C40" i="6"/>
  <c r="F54" i="6"/>
  <c r="F34" i="6"/>
  <c r="H34" i="6"/>
  <c r="F49" i="6"/>
  <c r="H49" i="6"/>
  <c r="F39" i="6"/>
  <c r="H39" i="6"/>
  <c r="F65" i="6"/>
  <c r="H24" i="6"/>
  <c r="F44" i="6"/>
  <c r="H44" i="6"/>
  <c r="F29" i="6"/>
  <c r="H29" i="6"/>
  <c r="D19" i="6"/>
  <c r="C19" i="6"/>
  <c r="K65" i="6"/>
  <c r="D29" i="6"/>
  <c r="C29" i="6"/>
  <c r="D44" i="6"/>
  <c r="C44" i="6"/>
  <c r="D49" i="6"/>
  <c r="D24" i="6"/>
  <c r="D34" i="6"/>
  <c r="C34" i="6"/>
  <c r="D39" i="6"/>
  <c r="C39" i="6"/>
  <c r="C2" i="6"/>
  <c r="B2" i="6"/>
  <c r="H65" i="6"/>
  <c r="H54" i="6"/>
  <c r="F62" i="6"/>
  <c r="H62" i="6"/>
  <c r="F60" i="6"/>
  <c r="H60" i="6"/>
  <c r="F59" i="6"/>
  <c r="H59" i="6"/>
  <c r="F57" i="6"/>
  <c r="H57" i="6"/>
  <c r="F58" i="6"/>
  <c r="H58" i="6"/>
  <c r="F63" i="6"/>
  <c r="H63" i="6"/>
  <c r="F55" i="6"/>
  <c r="D59" i="6"/>
  <c r="C59" i="6"/>
  <c r="D63" i="6"/>
  <c r="C63" i="6"/>
  <c r="D65" i="6"/>
  <c r="D60" i="6"/>
  <c r="C60" i="6"/>
  <c r="C62" i="6"/>
  <c r="D62" i="6"/>
  <c r="H55" i="6"/>
  <c r="F56" i="6"/>
  <c r="H56" i="6"/>
  <c r="D58" i="6"/>
  <c r="C58" i="6"/>
  <c r="D57" i="6"/>
  <c r="C57" i="6"/>
  <c r="C54" i="6"/>
  <c r="D54" i="6"/>
  <c r="D55" i="6"/>
  <c r="C55" i="6"/>
  <c r="D56" i="6"/>
  <c r="C56" i="6"/>
  <c r="S12" i="5"/>
  <c r="S13" i="5"/>
  <c r="S9" i="5"/>
  <c r="S6" i="5"/>
  <c r="S10" i="5"/>
  <c r="S5" i="5"/>
  <c r="S11" i="5"/>
  <c r="S8" i="5"/>
  <c r="S7" i="5"/>
  <c r="G64" i="6" a="1"/>
  <c r="G64" i="6" l="1"/>
  <c r="H69" i="6"/>
  <c r="G49" i="4"/>
  <c r="B64" i="6" l="1"/>
  <c r="H64" i="6"/>
  <c r="C64" i="6" l="1"/>
  <c r="D64"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<sst xmlns="http://schemas.openxmlformats.org/spreadsheetml/2006/main" count="22207" uniqueCount="15673">
  <si>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</si>
  <si>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</si>
  <si>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</si>
  <si>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</si>
  <si>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</si>
  <si>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</si>
  <si>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</si>
  <si>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</si>
  <si>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</si>
  <si>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</si>
  <si>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</si>
  <si>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</si>
  <si>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</si>
  <si>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</si>
  <si>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</si>
  <si>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</si>
  <si>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</si>
  <si>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</si>
  <si>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</si>
  <si>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</si>
  <si>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</si>
  <si>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</si>
  <si>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</si>
  <si>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</si>
  <si>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</si>
  <si>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</si>
  <si>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</si>
  <si>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</si>
  <si>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</si>
  <si>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</si>
  <si>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</si>
  <si>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</si>
  <si>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</si>
  <si>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</si>
  <si>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</si>
  <si>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</si>
  <si>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</si>
  <si>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</si>
  <si>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</si>
  <si>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</si>
  <si>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</si>
  <si>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</si>
  <si>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</si>
  <si>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</si>
  <si>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</si>
  <si>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</si>
  <si>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</si>
  <si>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</si>
  <si>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</si>
  <si>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</si>
  <si>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</si>
  <si>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</si>
  <si>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</si>
  <si>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</si>
  <si>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</si>
  <si>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</si>
  <si>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</si>
  <si>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</si>
  <si>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</si>
  <si>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</si>
  <si>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</si>
  <si>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</si>
  <si>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</si>
  <si>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</si>
  <si>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</si>
  <si>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</si>
  <si>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</si>
  <si>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</si>
  <si>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</si>
  <si>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</si>
  <si>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</si>
  <si>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</si>
  <si>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</si>
  <si>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</si>
  <si>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</si>
  <si>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</si>
  <si>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</si>
  <si>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</si>
  <si>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</si>
  <si>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</si>
  <si>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</si>
  <si>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</si>
  <si>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</si>
  <si>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</si>
  <si>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</si>
  <si>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</si>
  <si>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</si>
  <si>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</si>
  <si>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</si>
  <si>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</si>
  <si>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</si>
  <si>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</si>
  <si>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</si>
  <si>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</si>
  <si>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</si>
  <si>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</si>
  <si>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</si>
  <si>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</si>
  <si>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</si>
  <si>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</si>
  <si>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</si>
  <si>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</si>
  <si>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</si>
  <si>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</si>
  <si>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</si>
  <si>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</si>
  <si>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</si>
  <si>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</si>
  <si>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</si>
  <si>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</si>
  <si>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</si>
  <si>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</si>
  <si>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</si>
  <si>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</si>
  <si>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</si>
  <si>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</si>
  <si>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</si>
  <si>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</si>
  <si>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</si>
  <si>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</si>
  <si>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</si>
  <si>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</si>
  <si>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</si>
  <si>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</si>
  <si>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</si>
  <si>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</si>
  <si>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</si>
  <si>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</si>
  <si>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</si>
  <si>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</si>
  <si>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</si>
  <si>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</si>
  <si>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</si>
  <si>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</si>
  <si>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</si>
  <si>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</si>
  <si>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</si>
  <si>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</si>
  <si>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</si>
  <si>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</si>
  <si>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</si>
  <si>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</si>
  <si>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</si>
  <si>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</si>
  <si>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</si>
  <si>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</si>
  <si>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</si>
  <si>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</si>
  <si>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</si>
  <si>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</si>
  <si>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</si>
  <si>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</si>
  <si>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</si>
  <si>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</si>
  <si>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</si>
  <si>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</si>
  <si>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</si>
  <si>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</si>
  <si>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</si>
  <si>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</si>
  <si>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</si>
  <si>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</si>
  <si>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</si>
  <si>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</si>
  <si>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</si>
  <si>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</si>
  <si>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</si>
  <si>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</si>
  <si>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</si>
  <si>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</si>
  <si>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</si>
  <si>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</si>
  <si>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</si>
  <si>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</si>
  <si>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</si>
  <si>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</si>
  <si>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</si>
  <si>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</si>
  <si>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</si>
  <si>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</si>
  <si>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</si>
  <si>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</si>
  <si>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</si>
  <si>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</si>
  <si>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</si>
  <si>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</si>
  <si>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</si>
  <si>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</si>
  <si>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</si>
  <si>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</si>
  <si>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</si>
  <si>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</si>
  <si>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</si>
  <si>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</si>
  <si>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</si>
  <si>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</si>
  <si>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</si>
  <si>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</si>
  <si>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</si>
  <si>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</si>
  <si>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</si>
  <si>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</si>
  <si>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</si>
  <si>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</si>
  <si>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</si>
  <si>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</si>
  <si>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</si>
  <si>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</si>
  <si>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</si>
  <si>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</si>
  <si>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</si>
  <si>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</si>
  <si>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</si>
  <si>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</si>
  <si>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</si>
  <si>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</si>
  <si>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</si>
  <si>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</si>
  <si>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</si>
  <si>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</si>
  <si>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</si>
  <si>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</si>
  <si>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</si>
  <si>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</si>
  <si>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</si>
  <si>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</si>
  <si>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</si>
  <si>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</si>
  <si>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</si>
  <si>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</si>
  <si>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</si>
  <si>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</si>
  <si>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</si>
  <si>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</si>
  <si>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</si>
  <si>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</si>
  <si>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</si>
  <si>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</si>
  <si>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</si>
  <si>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</si>
  <si>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</si>
  <si>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</si>
  <si>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</si>
  <si>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</si>
  <si>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</si>
  <si>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</si>
  <si>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</si>
  <si>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</si>
  <si>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</si>
  <si>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</si>
  <si>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</si>
  <si>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</si>
  <si>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</si>
  <si>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</si>
  <si>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</si>
  <si>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</si>
  <si>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</si>
  <si>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</si>
  <si>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</si>
  <si>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</si>
  <si>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</si>
  <si>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</si>
  <si>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</si>
  <si>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</si>
  <si>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</si>
  <si>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</si>
  <si>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</si>
  <si>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</si>
  <si>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</si>
  <si>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</si>
  <si>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</si>
  <si>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</si>
  <si>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</si>
  <si>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</si>
  <si>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</si>
  <si>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</si>
  <si>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</si>
  <si>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</si>
  <si>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</si>
  <si>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</si>
  <si>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</si>
  <si>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</si>
  <si>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</si>
  <si>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</si>
  <si>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</si>
  <si>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</si>
  <si>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</si>
  <si>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</si>
  <si>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</si>
  <si>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</si>
  <si>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</si>
  <si>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</si>
  <si>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</si>
  <si>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</si>
  <si>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</si>
  <si>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</si>
  <si>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</si>
  <si>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</si>
  <si>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</si>
  <si>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</si>
  <si>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</si>
  <si>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</si>
  <si>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</si>
  <si>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</si>
  <si>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</si>
  <si>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</si>
  <si>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</si>
  <si>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</si>
  <si>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</si>
  <si>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</si>
  <si>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</si>
  <si>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</si>
  <si>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</si>
  <si>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</si>
  <si>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</si>
  <si>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</si>
  <si>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</si>
  <si>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</si>
  <si>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</si>
  <si>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</si>
  <si>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</si>
  <si>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</si>
  <si>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</si>
  <si>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</si>
  <si>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</si>
  <si>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</si>
  <si>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</si>
  <si>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</si>
  <si>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</si>
  <si>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</si>
  <si>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</si>
  <si>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</si>
  <si>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</si>
  <si>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</si>
  <si>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</si>
  <si>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</si>
  <si>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</si>
  <si>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</si>
  <si>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</si>
  <si>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</si>
  <si>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</si>
  <si>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</si>
  <si>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</si>
  <si>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</si>
  <si>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</si>
  <si>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</si>
  <si>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</si>
  <si>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</si>
  <si>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</si>
  <si>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</si>
  <si>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</si>
  <si>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</si>
  <si>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</si>
  <si>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</si>
  <si>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</si>
  <si>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</si>
  <si>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</si>
  <si>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</si>
  <si>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</si>
  <si>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</si>
  <si>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</si>
  <si>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</si>
  <si>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</si>
  <si>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</si>
  <si>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</si>
  <si>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</si>
  <si>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</si>
  <si>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</si>
  <si>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</si>
  <si>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</si>
  <si>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</si>
  <si>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</si>
  <si>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</si>
  <si>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</si>
  <si>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</si>
  <si>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</si>
  <si>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</si>
  <si>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</si>
  <si>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</si>
  <si>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</si>
  <si>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</si>
  <si>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</si>
  <si>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</si>
  <si>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</si>
  <si>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</si>
  <si>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</si>
  <si>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</si>
  <si>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</si>
  <si>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</si>
  <si>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</si>
  <si>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</si>
  <si>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</si>
  <si>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</si>
  <si>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</si>
  <si>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</si>
  <si>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</si>
  <si>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</si>
  <si>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</si>
  <si>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</si>
  <si>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</si>
  <si>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</si>
  <si>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</si>
  <si>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</si>
  <si>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</si>
  <si>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</si>
  <si>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</si>
  <si>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</si>
  <si>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</si>
  <si>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</si>
  <si>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</si>
  <si>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</si>
  <si>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</si>
  <si>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</si>
  <si>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</si>
  <si>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</si>
  <si>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</si>
  <si>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</si>
  <si>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</si>
  <si>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</si>
  <si>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</si>
  <si>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</si>
  <si>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</si>
  <si>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</si>
  <si>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</si>
  <si>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</si>
  <si>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</si>
  <si>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</si>
  <si>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</si>
  <si>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</si>
  <si>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</si>
  <si>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</si>
  <si>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</si>
  <si>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</si>
  <si>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</si>
  <si>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</si>
  <si>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</si>
  <si>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</si>
  <si>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</si>
  <si>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</si>
  <si>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</si>
  <si>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</si>
  <si>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</si>
  <si>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</si>
  <si>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</si>
  <si>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</si>
  <si>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</si>
  <si>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</si>
  <si>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</si>
  <si>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</si>
  <si>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</si>
  <si>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</si>
  <si>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</si>
  <si>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</si>
  <si>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</si>
  <si>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</si>
  <si>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</si>
  <si>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</si>
  <si>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</si>
  <si>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</si>
  <si>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</si>
  <si>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</si>
  <si>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</si>
  <si>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</si>
  <si>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</si>
  <si>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</si>
  <si>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</si>
  <si>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</si>
  <si>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</si>
  <si>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</si>
  <si>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</si>
  <si>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</si>
  <si>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</si>
  <si>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</si>
  <si>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</si>
  <si>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</si>
  <si>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</si>
  <si>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</si>
  <si>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</si>
  <si>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</si>
  <si>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</si>
  <si>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</si>
  <si>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</si>
  <si>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</si>
  <si>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</si>
  <si>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</si>
  <si>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</si>
  <si>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</si>
  <si>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</si>
  <si>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</si>
  <si>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</si>
  <si>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</si>
  <si>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</si>
  <si>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</si>
  <si>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</si>
  <si>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</si>
  <si>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</si>
  <si>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</si>
  <si>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</si>
  <si>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</si>
  <si>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</si>
  <si>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</si>
  <si>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</si>
  <si>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</si>
  <si>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</si>
  <si>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</si>
  <si>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</si>
  <si>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</si>
  <si>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</si>
  <si>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</si>
  <si>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</si>
  <si>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</si>
  <si>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</si>
  <si>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</si>
  <si>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</si>
  <si>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</si>
  <si>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</si>
  <si>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</si>
  <si>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</si>
  <si>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</si>
  <si>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</si>
  <si>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</si>
  <si>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</si>
  <si>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</si>
  <si>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</si>
  <si>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</si>
  <si>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</si>
  <si>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</si>
  <si>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</si>
  <si>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</si>
  <si>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</si>
  <si>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</si>
  <si>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</si>
  <si>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</si>
  <si>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</si>
  <si>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</si>
  <si>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</si>
  <si>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</si>
  <si>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</si>
  <si>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</si>
  <si>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</si>
  <si>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</si>
  <si>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</si>
  <si>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</si>
  <si>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</si>
  <si>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</si>
  <si>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</si>
  <si>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</si>
  <si>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</si>
  <si>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</si>
  <si>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</si>
  <si>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</si>
  <si>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</si>
  <si>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</si>
  <si>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</si>
  <si>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</si>
  <si>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</si>
  <si>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</si>
  <si>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</si>
  <si>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</si>
  <si>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</si>
  <si>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</si>
  <si>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</si>
  <si>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</si>
  <si>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</si>
  <si>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</si>
  <si>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</si>
  <si>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</si>
  <si>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</si>
  <si>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</si>
  <si>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</si>
  <si>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</si>
  <si>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</si>
  <si>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</si>
  <si>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</si>
  <si>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</si>
  <si>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</si>
  <si>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</si>
  <si>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</si>
  <si>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</si>
  <si>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</si>
  <si>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</si>
  <si>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</si>
  <si>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</si>
  <si>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</si>
  <si>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</si>
  <si>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</si>
  <si>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</si>
  <si>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</si>
  <si>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</si>
  <si>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</si>
  <si>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</si>
  <si>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</si>
  <si>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</si>
  <si>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</si>
  <si>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</si>
  <si>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</si>
  <si>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</si>
  <si>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</si>
  <si>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</si>
  <si>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</si>
  <si>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</si>
  <si>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</si>
  <si>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</si>
  <si>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</si>
  <si>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</si>
  <si>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</si>
  <si>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</si>
  <si>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</si>
  <si>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</si>
  <si>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</si>
  <si>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</si>
  <si>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</si>
  <si>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</si>
  <si>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</si>
  <si>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</si>
  <si>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</si>
  <si>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</si>
  <si>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</si>
  <si>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</si>
  <si>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</si>
  <si>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</si>
  <si>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</si>
  <si>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</si>
  <si>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</si>
  <si>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</si>
  <si>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</si>
  <si>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</si>
  <si>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</si>
  <si>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</si>
  <si>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</si>
  <si>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</si>
  <si>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</si>
  <si>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</si>
  <si>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</si>
  <si>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</si>
  <si>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</si>
  <si>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</si>
  <si>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</si>
  <si>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</si>
  <si>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</si>
  <si>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</si>
  <si>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</si>
  <si>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</si>
  <si>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</si>
  <si>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</si>
  <si>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</si>
  <si>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</si>
  <si>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</si>
  <si>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</si>
  <si>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</si>
  <si>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</si>
  <si>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</si>
  <si>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</si>
  <si>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</si>
  <si>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</si>
  <si>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</si>
  <si>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</si>
  <si>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</si>
  <si>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</si>
  <si>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</si>
  <si>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</si>
  <si>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</si>
  <si>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</si>
  <si>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</si>
  <si>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</si>
  <si>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</si>
  <si>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</si>
  <si>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</si>
  <si>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</si>
  <si>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</si>
  <si>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</si>
  <si>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</si>
  <si>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</si>
  <si>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</si>
  <si>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</si>
  <si>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</si>
  <si>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</si>
  <si>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</si>
  <si>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</si>
  <si>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</si>
  <si>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</si>
  <si>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</si>
  <si>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</si>
  <si>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</si>
  <si>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</si>
  <si>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</si>
  <si>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</si>
  <si>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</si>
  <si>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</si>
  <si>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</si>
  <si>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</si>
  <si>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</si>
  <si>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</si>
  <si>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</si>
  <si>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</si>
  <si>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</si>
  <si>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</si>
  <si>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</si>
  <si>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</si>
  <si>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</si>
  <si>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</si>
  <si>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</si>
  <si>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</si>
  <si>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</si>
  <si>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</si>
  <si>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</si>
  <si>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</si>
  <si>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</si>
  <si>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</si>
  <si>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</si>
  <si>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</si>
  <si>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</si>
  <si>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</si>
  <si>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</si>
  <si>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</si>
  <si>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</si>
  <si>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</si>
  <si>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</si>
  <si>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</si>
  <si>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</si>
  <si>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</si>
  <si>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</si>
  <si>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</si>
  <si>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</si>
  <si>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</si>
  <si>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</si>
  <si>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</si>
  <si>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</si>
  <si>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</si>
  <si>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</si>
  <si>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</si>
  <si>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</si>
  <si>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</si>
  <si>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</si>
  <si>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</si>
  <si>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</si>
  <si>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</si>
  <si>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</si>
  <si>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</si>
  <si>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</si>
  <si>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</si>
  <si>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</si>
  <si>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</si>
  <si>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</si>
  <si>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</si>
  <si>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</si>
  <si>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</si>
  <si>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</si>
  <si>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</si>
  <si>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</si>
  <si>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</si>
  <si>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</si>
  <si>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</si>
  <si>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</si>
  <si>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</si>
  <si>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</si>
  <si>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</si>
  <si>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</si>
  <si>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</si>
  <si>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</si>
  <si>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</si>
  <si>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</si>
  <si>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</si>
  <si>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</si>
  <si>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</si>
  <si>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</si>
  <si>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</si>
  <si>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</si>
  <si>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</si>
  <si>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</si>
  <si>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</si>
  <si>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</si>
  <si>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</si>
  <si>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</si>
  <si>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</si>
  <si>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</si>
  <si>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</si>
  <si>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</si>
  <si>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</si>
  <si>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</si>
  <si>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</si>
  <si>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</si>
  <si>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</si>
  <si>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</si>
  <si>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</si>
  <si>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</si>
  <si>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</si>
  <si>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</si>
  <si>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</si>
  <si>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</si>
  <si>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</si>
  <si>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</si>
  <si>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</si>
  <si>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</si>
  <si>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</si>
  <si>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</si>
  <si>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</si>
  <si>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</si>
  <si>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</si>
  <si>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</si>
  <si>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</si>
  <si>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</si>
  <si>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</si>
  <si>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</si>
  <si>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</si>
  <si>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</si>
  <si>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</si>
  <si>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</si>
  <si>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</si>
  <si>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</si>
  <si>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</si>
  <si>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</si>
  <si>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</si>
  <si>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</si>
  <si>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</si>
  <si>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</si>
  <si>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</si>
  <si>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</si>
  <si>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</si>
  <si>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</si>
  <si>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</si>
  <si>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</si>
  <si>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</si>
  <si>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</si>
  <si>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</si>
  <si>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</si>
  <si>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</si>
  <si>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</si>
  <si>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</si>
  <si>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</si>
  <si>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</si>
  <si>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</si>
  <si>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</si>
  <si>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</si>
  <si>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</si>
  <si>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</si>
  <si>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</si>
  <si>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</si>
  <si>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</si>
  <si>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</si>
  <si>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</si>
  <si>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</si>
  <si>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</si>
  <si>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</si>
  <si>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</si>
  <si>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</si>
  <si>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</si>
  <si>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</si>
  <si>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</si>
  <si>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</si>
  <si>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</si>
  <si>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</si>
  <si>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</si>
  <si>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</si>
  <si>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</si>
  <si>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</si>
  <si>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</si>
  <si>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</si>
  <si>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</si>
  <si>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</si>
  <si>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</si>
  <si>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</si>
  <si>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</si>
  <si>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</si>
  <si>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</si>
  <si>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</si>
  <si>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</si>
  <si>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</si>
  <si>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</si>
  <si>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</si>
  <si>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</si>
  <si>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</si>
  <si>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</si>
  <si>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</si>
  <si>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</si>
  <si>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</si>
  <si>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</si>
  <si>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</si>
  <si>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</si>
  <si>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</si>
  <si>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</si>
  <si>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</si>
  <si>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</si>
  <si>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</si>
  <si>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</si>
  <si>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</si>
  <si>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</si>
  <si>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</si>
  <si>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</si>
  <si>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</si>
  <si>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</si>
  <si>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</si>
  <si>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</si>
  <si>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</si>
  <si>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</si>
  <si>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</si>
  <si>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</si>
  <si>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</si>
  <si>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</si>
  <si>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</si>
  <si>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</si>
  <si>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</si>
  <si>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</si>
  <si>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</si>
  <si>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</si>
  <si>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</si>
  <si>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</si>
  <si>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</si>
  <si>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</si>
  <si>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</si>
  <si>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</si>
  <si>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</si>
  <si>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</si>
  <si>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</si>
  <si>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</si>
  <si>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</si>
  <si>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</si>
  <si>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</si>
  <si>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</si>
  <si>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</si>
  <si>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</si>
  <si>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</si>
  <si>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</si>
  <si>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</si>
  <si>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</si>
  <si>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</si>
  <si>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</si>
  <si>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</si>
  <si>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</si>
  <si>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</si>
  <si>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</si>
  <si>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</si>
  <si>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</si>
  <si>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</si>
  <si>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</si>
  <si>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</si>
  <si>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</si>
  <si>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</si>
  <si>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</si>
  <si>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</si>
  <si>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</si>
  <si>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</si>
  <si>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</si>
  <si>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</si>
  <si>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</si>
  <si>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</si>
  <si>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</si>
  <si>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</si>
  <si>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</si>
  <si>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</si>
  <si>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</si>
  <si>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</si>
  <si>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</si>
  <si>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</si>
  <si>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</si>
  <si>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</si>
  <si>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</si>
  <si>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</si>
  <si>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</si>
  <si>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</si>
  <si>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</si>
  <si>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</si>
  <si>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</si>
  <si>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</si>
  <si>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</si>
  <si>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</si>
  <si>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</si>
  <si>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</si>
  <si>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</si>
  <si>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</si>
  <si>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</si>
  <si>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</si>
  <si>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</si>
  <si>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</si>
  <si>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</si>
  <si>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</si>
  <si>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</si>
  <si>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</si>
  <si>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</si>
  <si>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</si>
  <si>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</si>
  <si>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</si>
  <si>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</si>
  <si>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</si>
  <si>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</si>
  <si>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</si>
  <si>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</si>
  <si>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</si>
  <si>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</si>
  <si>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</si>
  <si>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</si>
  <si>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</si>
  <si>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</si>
  <si>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</si>
  <si>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</si>
  <si>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</si>
  <si>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</si>
  <si>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</si>
  <si>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</si>
  <si>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</si>
  <si>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</si>
  <si>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</si>
  <si>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</si>
  <si>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</si>
  <si>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</si>
  <si>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</si>
  <si>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</si>
  <si>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</si>
  <si>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</si>
  <si>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</si>
  <si>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</si>
  <si>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</si>
  <si>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</si>
  <si>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</si>
  <si>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</si>
  <si>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</si>
  <si>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</si>
  <si>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</si>
  <si>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</si>
  <si>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</si>
  <si>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</si>
  <si>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</si>
  <si>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</si>
  <si>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</si>
  <si>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</si>
  <si>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</si>
  <si>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</si>
  <si>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</si>
  <si>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</si>
  <si>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</si>
  <si>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</si>
  <si>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</si>
  <si>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</si>
  <si>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</si>
  <si>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</si>
  <si>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</si>
  <si>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</si>
  <si>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</si>
  <si>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</si>
  <si>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</si>
  <si>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</si>
  <si>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</si>
  <si>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</si>
  <si>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</si>
  <si>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</si>
  <si>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</si>
  <si>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</si>
  <si>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</si>
  <si>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</si>
  <si>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</si>
  <si>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</si>
  <si>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</si>
  <si>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</si>
  <si>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</si>
  <si>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</si>
  <si>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</si>
  <si>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</si>
  <si>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</si>
  <si>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</si>
  <si>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</si>
  <si>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</si>
  <si>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</si>
  <si>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</si>
  <si>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</si>
  <si>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</si>
  <si>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</si>
  <si>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</si>
  <si>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</si>
  <si>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</si>
  <si>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</si>
  <si>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</si>
  <si>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</si>
  <si>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</si>
  <si>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</si>
  <si>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</si>
  <si>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</si>
  <si>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</si>
  <si>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</si>
  <si>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</si>
  <si>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</si>
  <si>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</si>
  <si>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</si>
  <si>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</si>
  <si>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</si>
  <si>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</si>
  <si>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</si>
  <si>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</si>
  <si>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</si>
  <si>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</si>
  <si>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</si>
  <si>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</si>
  <si>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</si>
  <si>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</si>
  <si>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</si>
  <si>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</si>
  <si>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</si>
  <si>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</si>
  <si>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</si>
  <si>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</si>
  <si>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</si>
  <si>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</si>
  <si>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</si>
  <si>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</si>
  <si>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</si>
  <si>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</si>
  <si>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</si>
  <si>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</si>
  <si>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</si>
  <si>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</si>
  <si>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</si>
  <si>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</si>
  <si>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</si>
  <si>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</si>
  <si>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</si>
  <si>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</si>
  <si>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</si>
  <si>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</si>
  <si>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</si>
  <si>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</si>
  <si>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</si>
  <si>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</si>
  <si>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</si>
  <si>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</si>
  <si>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</si>
  <si>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</si>
  <si>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</si>
  <si>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</si>
  <si>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</si>
  <si>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</si>
  <si>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</si>
  <si>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</si>
  <si>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</si>
  <si>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</si>
  <si>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</si>
  <si>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</si>
  <si>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</si>
  <si>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</si>
  <si>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</si>
  <si>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</si>
  <si>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</si>
  <si>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</si>
  <si>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</si>
  <si>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</si>
  <si>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</si>
  <si>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</si>
  <si>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</si>
  <si>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</si>
  <si>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</si>
  <si>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</si>
  <si>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</si>
  <si>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</si>
  <si>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</si>
  <si>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</si>
  <si>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</si>
  <si>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</si>
  <si>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</si>
  <si>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</si>
  <si>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</si>
  <si>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</si>
  <si>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</si>
  <si>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</si>
  <si>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</si>
  <si>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</si>
  <si>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</si>
  <si>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</si>
  <si>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</si>
  <si>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</si>
  <si>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</si>
  <si>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</si>
  <si>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</si>
  <si>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</si>
  <si>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</si>
  <si>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</si>
  <si>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</si>
  <si>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</si>
  <si>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</si>
  <si>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</si>
  <si>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</si>
  <si>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</si>
  <si>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</si>
  <si>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</si>
  <si>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</si>
  <si>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</si>
  <si>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</si>
  <si>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</si>
  <si>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</si>
  <si>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</si>
  <si>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</si>
  <si>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</si>
  <si>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</si>
  <si>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</si>
  <si>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</si>
  <si>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</si>
  <si>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</si>
  <si>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</si>
  <si>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</si>
  <si>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</si>
  <si>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</si>
  <si>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</si>
  <si>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</si>
  <si>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</si>
  <si>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</si>
  <si>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</si>
  <si>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</si>
  <si>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</si>
  <si>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</si>
  <si>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</si>
  <si>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</si>
  <si>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</si>
  <si>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</si>
  <si>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</si>
  <si>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</si>
  <si>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</si>
  <si>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</si>
  <si>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</si>
  <si>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</si>
  <si>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</si>
  <si>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</si>
  <si>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</si>
  <si>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</si>
  <si>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</si>
  <si>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</si>
  <si>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</si>
  <si>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</si>
  <si>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</si>
  <si>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</si>
  <si>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</si>
  <si>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</si>
  <si>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</si>
  <si>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</si>
  <si>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</si>
  <si>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</si>
  <si>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</si>
  <si>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</si>
  <si>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</si>
  <si>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</si>
  <si>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</si>
  <si>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</si>
  <si>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</si>
  <si>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</si>
  <si>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</si>
  <si>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</si>
  <si>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</si>
  <si>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</si>
  <si>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</si>
  <si>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</si>
  <si>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</si>
  <si>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</si>
  <si>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</si>
  <si>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</si>
  <si>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</si>
  <si>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</si>
  <si>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</si>
  <si>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</si>
  <si>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</si>
  <si>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</si>
  <si>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</si>
  <si>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</si>
  <si>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</si>
  <si>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</si>
  <si>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</si>
  <si>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</si>
  <si>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</si>
  <si>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</si>
  <si>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</si>
  <si>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</si>
  <si>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</si>
  <si>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</si>
  <si>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</si>
  <si>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</si>
  <si>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</si>
  <si>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</si>
  <si>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</si>
  <si>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</si>
  <si>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</si>
  <si>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</si>
  <si>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</si>
  <si>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</si>
  <si>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</si>
  <si>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</si>
  <si>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</si>
  <si>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</si>
  <si>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</si>
  <si>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</si>
  <si>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</si>
  <si>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</si>
  <si>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</si>
  <si>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</si>
  <si>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</si>
  <si>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</si>
  <si>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</si>
  <si>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</si>
  <si>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</si>
  <si>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</si>
  <si>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</si>
  <si>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</si>
  <si>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</si>
  <si>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</si>
  <si>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</si>
  <si>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</si>
  <si>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</si>
  <si>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</si>
  <si>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</si>
  <si>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</si>
  <si>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</si>
  <si>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</si>
  <si>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</si>
  <si>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</si>
  <si>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</si>
  <si>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</si>
  <si>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</si>
  <si>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</si>
  <si>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</si>
  <si>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</si>
  <si>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</si>
  <si>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</si>
  <si>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</si>
  <si>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</si>
  <si>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</si>
  <si>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</si>
  <si>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</si>
  <si>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</si>
  <si>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</si>
  <si>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</si>
  <si>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</si>
  <si>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</si>
  <si>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</si>
  <si>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</si>
  <si>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</si>
  <si>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</si>
  <si>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</si>
  <si>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</si>
  <si>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</si>
  <si>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</si>
  <si>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</si>
  <si>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</si>
  <si>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</si>
  <si>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</si>
  <si>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</si>
  <si>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</si>
  <si>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</si>
  <si>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</si>
  <si>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</si>
  <si>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</si>
  <si>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</si>
  <si>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</si>
  <si>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</si>
  <si>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</si>
  <si>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</si>
  <si>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</si>
  <si>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</si>
  <si>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</si>
  <si>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</si>
  <si>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</si>
  <si>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</si>
  <si>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</si>
  <si>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</si>
  <si>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</si>
  <si>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</si>
  <si>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</si>
  <si>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</si>
  <si>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</si>
  <si>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</si>
  <si>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</si>
  <si>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</si>
  <si>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</si>
  <si>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</si>
  <si>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</si>
  <si>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</si>
  <si>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</si>
  <si>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</si>
  <si>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</si>
  <si>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</si>
  <si>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</si>
  <si>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</si>
  <si>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</si>
  <si>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</si>
  <si>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</si>
  <si>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</si>
  <si>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</si>
  <si>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</si>
  <si>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</si>
  <si>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</si>
  <si>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</si>
  <si>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</si>
  <si>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</si>
  <si>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</si>
  <si>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</si>
  <si>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</si>
  <si>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</si>
  <si>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</si>
  <si>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</si>
  <si>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</si>
  <si>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</si>
  <si>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</si>
  <si>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</si>
  <si>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</si>
  <si>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</si>
  <si>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</si>
  <si>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</si>
  <si>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</si>
  <si>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</si>
  <si>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</si>
  <si>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</si>
  <si>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</si>
  <si>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</si>
  <si>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</si>
  <si>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</si>
  <si>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</si>
  <si>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</si>
  <si>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</si>
  <si>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</si>
  <si>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</si>
  <si>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</si>
  <si>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</si>
  <si>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</si>
  <si>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</si>
  <si>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</si>
  <si>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</si>
  <si>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</si>
  <si>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</si>
  <si>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</si>
  <si>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</si>
  <si>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</si>
  <si>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</si>
  <si>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</si>
  <si>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</si>
  <si>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</si>
  <si>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</si>
  <si>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</si>
  <si>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</si>
  <si>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</si>
  <si>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</si>
  <si>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</si>
  <si>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</si>
  <si>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</si>
  <si>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</si>
  <si>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</si>
  <si>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</si>
  <si>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</si>
  <si>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</si>
  <si>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</si>
  <si>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</si>
  <si>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</si>
  <si>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</si>
  <si>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</si>
  <si>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</si>
  <si>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</si>
  <si>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</si>
  <si>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</si>
  <si>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</si>
  <si>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</si>
  <si>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</si>
  <si>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</si>
  <si>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</si>
  <si>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</si>
  <si>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</si>
  <si>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</si>
  <si>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</si>
  <si>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</si>
  <si>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</si>
  <si>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</si>
  <si>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</si>
  <si>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</si>
  <si>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</si>
  <si>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</si>
  <si>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</si>
  <si>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</si>
  <si>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</si>
  <si>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</si>
  <si>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</si>
  <si>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</si>
  <si>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</si>
  <si>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</si>
  <si>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</si>
  <si>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</si>
  <si>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</si>
  <si>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</si>
  <si>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</si>
  <si>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</si>
  <si>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</si>
  <si>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</si>
  <si>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</si>
  <si>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</si>
  <si>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</si>
  <si>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</si>
  <si>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</si>
  <si>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</si>
  <si>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</si>
  <si>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</si>
  <si>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</si>
  <si>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</si>
  <si>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</si>
  <si>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</si>
  <si>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</si>
  <si>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</si>
  <si>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</si>
  <si>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</si>
  <si>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</si>
  <si>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</si>
  <si>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</si>
  <si>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</si>
  <si>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</si>
  <si>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</si>
  <si>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</si>
  <si>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</si>
  <si>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</si>
  <si>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</si>
  <si>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</si>
  <si>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</si>
  <si>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</si>
  <si>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</si>
  <si>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</si>
  <si>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</si>
  <si>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</si>
  <si>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</si>
  <si>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</si>
  <si>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</si>
  <si>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</si>
  <si>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</si>
  <si>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</si>
  <si>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</si>
  <si>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</si>
  <si>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</si>
  <si>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</si>
  <si>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</si>
  <si>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</si>
  <si>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</si>
  <si>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</si>
  <si>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</si>
  <si>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</si>
  <si>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</si>
  <si>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</si>
  <si>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</si>
  <si>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</si>
  <si>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</si>
  <si>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</si>
  <si>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</si>
  <si>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</si>
  <si>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</si>
  <si>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</si>
  <si>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</si>
  <si>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</si>
  <si>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</si>
  <si>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</si>
  <si>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</si>
  <si>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</si>
  <si>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</si>
  <si>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</si>
  <si>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</si>
  <si>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</si>
  <si>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</si>
  <si>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</si>
  <si>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</si>
  <si>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</si>
  <si>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</si>
  <si>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</si>
  <si>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</si>
  <si>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</si>
  <si>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</si>
  <si>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</si>
  <si>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</si>
  <si>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</si>
  <si>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</si>
  <si>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</si>
  <si>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</si>
  <si>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</si>
  <si>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</si>
  <si>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</si>
  <si>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</si>
  <si>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</si>
  <si>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</si>
  <si>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</si>
  <si>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</si>
  <si>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</si>
  <si>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</si>
  <si>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</si>
  <si>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</si>
  <si>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</si>
  <si>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</si>
  <si>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</si>
  <si>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</si>
  <si>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</si>
  <si>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</si>
  <si>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</si>
  <si>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</si>
  <si>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</si>
  <si>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</si>
  <si>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</si>
  <si>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</si>
  <si>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</si>
  <si>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</si>
  <si>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</si>
  <si>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</si>
  <si>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</si>
  <si>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</si>
  <si>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</si>
  <si>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</si>
  <si>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</si>
  <si>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</si>
  <si>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</si>
  <si>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</si>
  <si>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</si>
  <si>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</si>
  <si>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</si>
  <si>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</si>
  <si>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</si>
  <si>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</si>
  <si>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</si>
  <si>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</si>
  <si>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</si>
  <si>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</si>
  <si>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</si>
  <si>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</si>
  <si>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</si>
  <si>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</si>
  <si>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</si>
  <si>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</si>
  <si>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</si>
  <si>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</si>
  <si>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</si>
  <si>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</si>
  <si>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</si>
  <si>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</si>
  <si>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</si>
  <si>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</si>
  <si>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</si>
  <si>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</si>
  <si>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</si>
  <si>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</si>
  <si>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</si>
  <si>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</si>
  <si>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</si>
  <si>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</si>
  <si>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</si>
  <si>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</si>
  <si>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</si>
  <si>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</si>
  <si>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</si>
  <si>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</si>
  <si>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</si>
  <si>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</si>
  <si>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</si>
  <si>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</si>
  <si>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</si>
  <si>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</si>
  <si>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</si>
  <si>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</si>
  <si>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</si>
  <si>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</si>
  <si>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</si>
  <si>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</si>
  <si>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</si>
  <si>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</si>
  <si>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</si>
  <si>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</si>
  <si>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</si>
  <si>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</si>
  <si>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</si>
  <si>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</si>
  <si>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</si>
  <si>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</si>
  <si>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</si>
  <si>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</si>
  <si>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</si>
  <si>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</si>
  <si>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</si>
  <si>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</si>
  <si>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</si>
  <si>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</si>
  <si>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</si>
  <si>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</si>
  <si>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</si>
  <si>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</si>
  <si>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</si>
  <si>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</si>
  <si>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</si>
  <si>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</si>
  <si>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</si>
  <si>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</si>
  <si>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</si>
  <si>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</si>
  <si>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</si>
  <si>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</si>
  <si>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</si>
  <si>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</si>
  <si>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</si>
  <si>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</si>
  <si>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</si>
  <si>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</si>
  <si>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</si>
  <si>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</si>
  <si>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</si>
  <si>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</si>
  <si>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</si>
  <si>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</si>
  <si>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</si>
  <si>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</si>
  <si>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</si>
  <si>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</si>
  <si>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</si>
  <si>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</si>
  <si>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</si>
  <si>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</si>
  <si>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</si>
  <si>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</si>
  <si>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</si>
  <si>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</si>
  <si>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</si>
  <si>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</si>
  <si>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</si>
  <si>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</si>
  <si>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</si>
  <si>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</si>
  <si>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</si>
  <si>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</si>
  <si>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</si>
  <si>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</si>
  <si>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</si>
  <si>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</si>
  <si>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</si>
  <si>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</si>
  <si>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</si>
  <si>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</si>
  <si>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</si>
  <si>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</si>
  <si>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</si>
  <si>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</si>
  <si>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</si>
  <si>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</si>
  <si>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</si>
  <si>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</si>
  <si>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</si>
  <si>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</si>
  <si>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</si>
  <si>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</si>
  <si>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</si>
  <si>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</si>
  <si>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</si>
  <si>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</si>
  <si>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</si>
  <si>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</si>
  <si>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</si>
  <si>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</si>
  <si>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</si>
  <si>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</si>
  <si>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</si>
  <si>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</si>
  <si>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</si>
  <si>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</si>
  <si>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</si>
  <si>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</si>
  <si>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</si>
  <si>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</si>
  <si>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</si>
  <si>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</si>
  <si>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</si>
  <si>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</si>
  <si>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</si>
  <si>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</si>
  <si>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</si>
  <si>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</si>
  <si>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</si>
  <si>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</si>
  <si>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</si>
  <si>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</si>
  <si>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</si>
  <si>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</si>
  <si>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</si>
  <si>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</si>
  <si>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</si>
  <si>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</si>
  <si>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</si>
  <si>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</si>
  <si>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</si>
  <si>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</si>
  <si>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</si>
  <si>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</si>
  <si>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</si>
  <si>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</si>
  <si>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</si>
  <si>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</si>
  <si>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</si>
  <si>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</si>
  <si>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</si>
  <si>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</si>
  <si>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</si>
  <si>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</si>
  <si>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</si>
  <si>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</si>
  <si>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</si>
  <si>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</si>
  <si>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</si>
  <si>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</si>
  <si>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</si>
  <si>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</si>
  <si>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</si>
  <si>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</si>
  <si>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</si>
  <si>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</si>
  <si>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</si>
  <si>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</si>
  <si>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</si>
  <si>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</si>
  <si>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</si>
  <si>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</si>
  <si>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</si>
  <si>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</si>
  <si>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</si>
  <si>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</si>
  <si>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</si>
  <si>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</si>
  <si>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</si>
  <si>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</si>
  <si>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</si>
  <si>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</si>
  <si>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</si>
  <si>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</si>
  <si>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</si>
  <si>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</si>
  <si>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</si>
  <si>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</si>
  <si>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</si>
  <si>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</si>
  <si>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</si>
  <si>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</si>
  <si>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</si>
  <si>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</si>
  <si>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</si>
  <si>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</si>
  <si>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</si>
  <si>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</si>
  <si>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</si>
  <si>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</si>
  <si>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</si>
  <si>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</si>
  <si>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</si>
  <si>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</si>
  <si>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</si>
  <si>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</si>
  <si>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</si>
  <si>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</si>
  <si>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</si>
  <si>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</si>
  <si>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</si>
  <si>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</si>
  <si>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</si>
  <si>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</si>
  <si>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</si>
  <si>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</si>
  <si>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</si>
  <si>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</si>
  <si>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</si>
  <si>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</si>
  <si>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</si>
  <si>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</si>
  <si>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</si>
  <si>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</si>
  <si>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</si>
  <si>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</si>
  <si>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</si>
  <si>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</si>
  <si>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</si>
  <si>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</si>
  <si>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</si>
  <si>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</si>
  <si>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</si>
  <si>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</si>
  <si>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</si>
  <si>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</si>
  <si>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</si>
  <si>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</si>
  <si>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</si>
  <si>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</si>
  <si>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</si>
  <si>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</si>
  <si>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</si>
  <si>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</si>
  <si>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</si>
  <si>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</si>
  <si>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</si>
  <si>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</si>
  <si>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</si>
  <si>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</si>
  <si>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</si>
  <si>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</si>
  <si>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</si>
  <si>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</si>
  <si>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</si>
  <si>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</si>
  <si>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</si>
  <si>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</si>
  <si>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</si>
  <si>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</si>
  <si>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</si>
  <si>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</si>
  <si>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</si>
  <si>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</si>
  <si>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</si>
  <si>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</si>
  <si>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</si>
  <si>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</si>
  <si>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</si>
  <si>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</si>
  <si>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</si>
  <si>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</si>
  <si>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</si>
  <si>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</si>
  <si>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</si>
  <si>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</si>
  <si>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</si>
  <si>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</si>
  <si>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</si>
  <si>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</si>
  <si>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</si>
  <si>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</si>
  <si>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</si>
  <si>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</si>
  <si>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</si>
  <si>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</si>
  <si>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</si>
  <si>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</si>
  <si>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</si>
  <si>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</si>
  <si>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</si>
  <si>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</si>
  <si>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</si>
  <si>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</si>
  <si>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</si>
  <si>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</si>
  <si>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</si>
  <si>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</si>
  <si>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</si>
  <si>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</si>
  <si>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</si>
  <si>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</si>
  <si>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</si>
  <si>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</si>
  <si>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</si>
  <si>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</si>
  <si>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</si>
  <si>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</si>
  <si>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</si>
  <si>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</si>
  <si>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</si>
  <si>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</si>
  <si>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</si>
  <si>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</si>
  <si>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</si>
  <si>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</si>
  <si>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</si>
  <si>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</si>
  <si>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</si>
  <si>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</si>
  <si>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</si>
  <si>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</si>
  <si>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</si>
  <si>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</si>
  <si>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</si>
  <si>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</si>
  <si>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</si>
  <si>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</si>
  <si>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</si>
  <si>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</si>
  <si>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</si>
  <si>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</si>
  <si>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</si>
  <si>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</si>
  <si>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</si>
  <si>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</si>
  <si>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</si>
  <si>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</si>
  <si>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</si>
  <si>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</si>
  <si>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</si>
  <si>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</si>
  <si>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</si>
  <si>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</si>
  <si>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</si>
  <si>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</si>
  <si>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</si>
  <si>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</si>
  <si>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</si>
  <si>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</si>
  <si>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</si>
  <si>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</si>
  <si>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</si>
  <si>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</si>
  <si>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</si>
  <si>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</si>
  <si>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</si>
  <si>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</si>
  <si>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</si>
  <si>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</si>
  <si>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</si>
  <si>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</si>
  <si>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</si>
  <si>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</si>
  <si>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</si>
  <si>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</si>
  <si>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</si>
  <si>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</si>
  <si>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</si>
  <si>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</si>
  <si>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</si>
  <si>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</si>
  <si>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</si>
  <si>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</si>
  <si>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</si>
  <si>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</si>
  <si>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</si>
  <si>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</si>
  <si>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</si>
  <si>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</si>
  <si>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</si>
  <si>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</si>
  <si>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</si>
  <si>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</si>
  <si>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</si>
  <si>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</si>
  <si>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</si>
  <si>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</si>
  <si>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</si>
  <si>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</si>
  <si>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</si>
  <si>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</si>
  <si>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</si>
  <si>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</si>
  <si>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</si>
  <si>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</si>
  <si>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</si>
  <si>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</si>
  <si>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</si>
  <si>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</si>
  <si>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</si>
  <si>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</si>
  <si>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</si>
  <si>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</si>
  <si>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</si>
  <si>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</si>
  <si>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</si>
  <si>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</si>
  <si>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</si>
  <si>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</si>
  <si>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</si>
  <si>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</si>
  <si>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</si>
  <si>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</si>
  <si>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</si>
  <si>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</si>
  <si>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</si>
  <si>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</si>
  <si>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</si>
  <si>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</si>
  <si>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</si>
  <si>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</si>
  <si>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</si>
  <si>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</si>
  <si>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</si>
  <si>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</si>
  <si>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</si>
  <si>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</si>
  <si>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</si>
  <si>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</si>
  <si>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</si>
  <si>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</si>
  <si>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</si>
  <si>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</si>
  <si>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</si>
  <si>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</si>
  <si>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</si>
  <si>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</si>
  <si>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</si>
  <si>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</si>
  <si>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</si>
  <si>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</si>
  <si>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</si>
  <si>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</si>
  <si>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</si>
  <si>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</si>
  <si>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</si>
  <si>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</si>
  <si>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</si>
  <si>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</si>
  <si>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</si>
  <si>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</si>
  <si>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</si>
  <si>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</si>
  <si>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</si>
  <si>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</si>
  <si>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</si>
  <si>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</si>
  <si>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</si>
  <si>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</si>
  <si>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</si>
  <si>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</si>
  <si>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</si>
  <si>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</si>
  <si>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</si>
  <si>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</si>
  <si>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</si>
  <si>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</si>
  <si>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</si>
  <si>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</si>
  <si>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</si>
  <si>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</si>
  <si>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</si>
  <si>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</si>
  <si>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</si>
  <si>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</si>
  <si>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</si>
  <si>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</si>
  <si>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</si>
  <si>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</si>
  <si>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</si>
  <si>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</si>
  <si>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</si>
  <si>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</si>
  <si>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</si>
  <si>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</si>
  <si>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</si>
  <si>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</si>
  <si>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</si>
  <si>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</si>
  <si>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</si>
  <si>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</si>
  <si>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</si>
  <si>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</si>
  <si>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</si>
  <si>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</si>
  <si>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</si>
  <si>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</si>
  <si>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</si>
  <si>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</si>
  <si>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</si>
  <si>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</si>
  <si>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</si>
  <si>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</si>
  <si>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</si>
  <si>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</si>
  <si>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</si>
  <si>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</si>
  <si>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</si>
  <si>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</si>
  <si>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</si>
  <si>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</si>
  <si>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</si>
  <si>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</si>
  <si>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</si>
  <si>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</si>
  <si>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</si>
  <si>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</si>
  <si>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</si>
  <si>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</si>
  <si>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</si>
  <si>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</si>
  <si>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</si>
  <si>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</si>
  <si>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</si>
  <si>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</si>
  <si>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</si>
  <si>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</si>
  <si>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</si>
  <si>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</si>
  <si>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</si>
  <si>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</si>
  <si>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</si>
  <si>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</si>
  <si>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</si>
  <si>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</si>
  <si>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</si>
  <si>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</si>
  <si>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</si>
  <si>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</si>
  <si>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</si>
  <si>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</si>
  <si>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</si>
  <si>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</si>
  <si>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</si>
  <si>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</si>
  <si>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</si>
  <si>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</si>
  <si>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</si>
  <si>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</si>
  <si>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</si>
  <si>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</si>
  <si>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</si>
  <si>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</si>
  <si>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</si>
  <si>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</si>
  <si>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</si>
  <si>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</si>
  <si>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</si>
  <si>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</si>
  <si>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</si>
  <si>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</si>
  <si>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</si>
  <si>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</si>
  <si>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</si>
  <si>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</si>
  <si>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</si>
  <si>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</si>
  <si>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</si>
  <si>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</si>
  <si>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</si>
  <si>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</si>
  <si>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</si>
  <si>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</si>
  <si>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</si>
  <si>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</si>
  <si>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</si>
  <si>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</si>
  <si>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</si>
  <si>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</si>
  <si>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</si>
  <si>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</si>
  <si>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</si>
  <si>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</si>
  <si>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</si>
  <si>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</si>
  <si>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</si>
  <si>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</si>
  <si>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</si>
  <si>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</si>
  <si>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</si>
  <si>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</si>
  <si>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</si>
  <si>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</si>
  <si>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</si>
  <si>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</si>
  <si>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</si>
  <si>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</si>
  <si>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</si>
  <si>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</si>
  <si>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</si>
  <si>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</si>
  <si>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</si>
  <si>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</si>
  <si>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</si>
  <si>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</si>
  <si>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</si>
  <si>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</si>
  <si>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</si>
  <si>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</si>
  <si>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</si>
  <si>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</si>
  <si>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</si>
  <si>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</si>
  <si>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</si>
  <si>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</si>
  <si>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</si>
  <si>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</si>
  <si>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</si>
  <si>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</si>
  <si>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</si>
  <si>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</si>
  <si>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</si>
  <si>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</si>
  <si>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</si>
  <si>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</si>
  <si>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</si>
  <si>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</si>
  <si>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</si>
  <si>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</si>
  <si>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</si>
  <si>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</si>
  <si>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</si>
  <si>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</si>
  <si>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</si>
  <si>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</si>
  <si>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</si>
  <si>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</si>
  <si>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</si>
  <si>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</si>
  <si>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</si>
  <si>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</si>
  <si>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</si>
  <si>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</si>
  <si>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</si>
  <si>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</si>
  <si>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</si>
  <si>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</si>
  <si>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</si>
  <si>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</si>
  <si>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</si>
  <si>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</si>
  <si>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</si>
  <si>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</si>
  <si>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</si>
  <si>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</si>
  <si>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</si>
  <si>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</si>
  <si>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</si>
  <si>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</si>
  <si>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</si>
  <si>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</si>
  <si>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</si>
  <si>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</si>
  <si>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</si>
  <si>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</si>
  <si>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</si>
  <si>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</si>
  <si>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</si>
  <si>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</si>
  <si>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</si>
  <si>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</si>
  <si>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</si>
  <si>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</si>
  <si>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</si>
  <si>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</si>
  <si>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</si>
  <si>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</si>
  <si>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</si>
  <si>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</si>
  <si>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</si>
  <si>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</si>
  <si>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</si>
  <si>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</si>
  <si>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</si>
  <si>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</si>
  <si>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</si>
  <si>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</si>
  <si>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</si>
  <si>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</si>
  <si>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</si>
  <si>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</si>
  <si>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</si>
  <si>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</si>
  <si>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</si>
  <si>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</si>
  <si>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</si>
  <si>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</si>
  <si>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</si>
  <si>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</si>
  <si>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</si>
  <si>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</si>
  <si>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</si>
  <si>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</si>
  <si>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</si>
  <si>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</si>
  <si>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</si>
  <si>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</si>
  <si>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</si>
  <si>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</si>
  <si>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</si>
  <si>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</si>
  <si>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</si>
  <si>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</si>
  <si>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</si>
  <si>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</si>
  <si>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</si>
  <si>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</si>
  <si>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</si>
  <si>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</si>
  <si>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</si>
  <si>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</si>
  <si>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</si>
  <si>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</si>
  <si>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</si>
  <si>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</si>
  <si>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</si>
  <si>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</si>
  <si>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</si>
  <si>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</si>
  <si>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</si>
  <si>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</si>
  <si>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</si>
  <si>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</si>
  <si>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</si>
  <si>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</si>
  <si>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</si>
  <si>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</si>
  <si>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</si>
  <si>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</si>
  <si>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</si>
  <si>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</si>
  <si>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</si>
  <si>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</si>
  <si>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</si>
  <si>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</si>
  <si>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</si>
  <si>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</si>
  <si>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</si>
  <si>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</si>
  <si>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</si>
  <si>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</si>
  <si>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</si>
  <si>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</si>
  <si>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</si>
  <si>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</si>
  <si>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</si>
  <si>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</si>
  <si>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</si>
  <si>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</si>
  <si>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</si>
  <si>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</si>
  <si>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</si>
  <si>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</si>
  <si>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</si>
  <si>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</si>
  <si>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</si>
  <si>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</si>
  <si>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</si>
  <si>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</si>
  <si>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</si>
  <si>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</si>
  <si>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</si>
  <si>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</si>
  <si>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</si>
  <si>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</si>
  <si>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</si>
  <si>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</si>
  <si>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</si>
  <si>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</si>
  <si>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</si>
  <si>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</si>
  <si>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</si>
  <si>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</si>
  <si>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</si>
  <si>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</si>
  <si>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</si>
  <si>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</si>
  <si>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</si>
  <si>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</si>
  <si>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</si>
  <si>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</si>
  <si>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</si>
  <si>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</si>
  <si>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</si>
  <si>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</si>
  <si>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</si>
  <si>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</si>
  <si>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</si>
  <si>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</si>
  <si>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</si>
  <si>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</si>
  <si>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</si>
  <si>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</si>
  <si>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</si>
  <si>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</si>
  <si>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</si>
  <si>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</si>
  <si>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</si>
  <si>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</si>
  <si>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</si>
  <si>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</si>
  <si>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</si>
  <si>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</si>
  <si>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</si>
  <si>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</si>
  <si>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</si>
  <si>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</si>
  <si>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</si>
  <si>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</si>
  <si>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</si>
  <si>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</si>
  <si>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</si>
  <si>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</si>
  <si>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</si>
  <si>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</si>
  <si>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</si>
  <si>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</si>
  <si>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</si>
  <si>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</si>
  <si>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</si>
  <si>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</si>
  <si>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</si>
  <si>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</si>
  <si>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</si>
  <si>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</si>
  <si>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</si>
  <si>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</si>
  <si>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</si>
  <si>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</si>
  <si>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</si>
  <si>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</si>
  <si>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</si>
  <si>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</si>
  <si>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</si>
  <si>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</si>
  <si>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</si>
  <si>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</si>
  <si>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</si>
  <si>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</si>
  <si>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</si>
  <si>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</si>
  <si>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</si>
  <si>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</si>
  <si>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</si>
  <si>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</si>
  <si>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</si>
  <si>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</si>
  <si>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</si>
  <si>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</si>
  <si>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</si>
  <si>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</si>
  <si>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</si>
  <si>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</si>
  <si>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</si>
  <si>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</si>
  <si>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</si>
  <si>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</si>
  <si>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</si>
  <si>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</si>
  <si>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</si>
  <si>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</si>
  <si>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</si>
  <si>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</si>
  <si>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</si>
  <si>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</si>
  <si>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</si>
  <si>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</si>
  <si>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</si>
  <si>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</si>
  <si>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</si>
  <si>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</si>
  <si>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</si>
  <si>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</si>
  <si>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</si>
  <si>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</si>
  <si>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</si>
  <si>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</si>
  <si>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</si>
  <si>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</si>
  <si>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</si>
  <si>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</si>
  <si>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</si>
  <si>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</si>
  <si>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</si>
  <si>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</si>
  <si>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</si>
  <si>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</si>
  <si>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</si>
  <si>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</si>
  <si>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</si>
  <si>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</si>
  <si>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</si>
  <si>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</si>
  <si>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</si>
  <si>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</si>
  <si>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</si>
  <si>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</si>
  <si>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</si>
  <si>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</si>
  <si>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</si>
  <si>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</si>
  <si>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</si>
  <si>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</si>
  <si>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</si>
  <si>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</si>
  <si>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</si>
  <si>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</si>
  <si>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</si>
  <si>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</si>
  <si>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</si>
  <si>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</si>
  <si>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</si>
  <si>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</si>
  <si>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</si>
  <si>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</si>
  <si>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</si>
  <si>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</si>
  <si>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</si>
  <si>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</si>
  <si>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</si>
  <si>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</si>
  <si>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</si>
  <si>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</si>
  <si>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</si>
  <si>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</si>
  <si>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</si>
  <si>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</si>
  <si>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</si>
  <si>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</si>
  <si>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</si>
  <si>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</si>
  <si>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</si>
  <si>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</si>
  <si>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</si>
  <si>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</si>
  <si>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</si>
  <si>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</si>
  <si>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</si>
  <si>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</si>
  <si>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</si>
  <si>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</si>
  <si>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</si>
  <si>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</si>
  <si>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</si>
  <si>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</si>
  <si>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</si>
  <si>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</si>
  <si>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</si>
  <si>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</si>
  <si>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</si>
  <si>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</si>
  <si>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</si>
  <si>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</si>
  <si>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</si>
  <si>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</si>
  <si>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</si>
  <si>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</si>
  <si>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</si>
  <si>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</si>
  <si>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</si>
  <si>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</si>
  <si>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</si>
  <si>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</si>
  <si>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</si>
  <si>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</si>
  <si>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</si>
  <si>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</si>
  <si>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</si>
  <si>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</si>
  <si>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</si>
  <si>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</si>
  <si>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</si>
  <si>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</si>
  <si>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</si>
  <si>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</si>
  <si>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</si>
  <si>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</si>
  <si>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</si>
  <si>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</si>
  <si>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</si>
  <si>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</si>
  <si>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</si>
  <si>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</si>
  <si>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</si>
  <si>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</si>
  <si>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</si>
  <si>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</si>
  <si>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</si>
  <si>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</si>
  <si>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</si>
  <si>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</si>
  <si>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</si>
  <si>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</si>
  <si>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</si>
  <si>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</si>
  <si>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</si>
  <si>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</si>
  <si>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</si>
  <si>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</si>
  <si>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</si>
  <si>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</si>
  <si>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</si>
  <si>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</si>
  <si>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</si>
  <si>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</si>
  <si>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</si>
  <si>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</si>
  <si>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</si>
  <si>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</si>
  <si>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</si>
  <si>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</si>
  <si>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</si>
  <si>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</si>
  <si>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</si>
  <si>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</si>
  <si>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</si>
  <si>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</si>
  <si>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</si>
  <si>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</si>
  <si>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</si>
  <si>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</si>
  <si>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</si>
  <si>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</si>
  <si>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</si>
  <si>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</si>
  <si>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</si>
  <si>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</si>
  <si>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</si>
  <si>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</si>
  <si>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</si>
  <si>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</si>
  <si>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</si>
  <si>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</si>
  <si>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</si>
  <si>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</si>
  <si>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</si>
  <si>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</si>
  <si>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</si>
  <si>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</si>
  <si>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</si>
  <si>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</si>
  <si>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</si>
  <si>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</si>
  <si>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</si>
  <si>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</si>
  <si>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</si>
  <si>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</si>
  <si>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</si>
  <si>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</si>
  <si>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</si>
  <si>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</si>
  <si>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</si>
  <si>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</si>
  <si>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</si>
  <si>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</si>
  <si>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</si>
  <si>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</si>
  <si>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</si>
  <si>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</si>
  <si>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</si>
  <si>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</si>
  <si>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</si>
  <si>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</si>
  <si>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</si>
  <si>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</si>
  <si>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</si>
  <si>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</si>
  <si>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</si>
  <si>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</si>
  <si>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</si>
  <si>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</si>
  <si>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</si>
  <si>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</si>
  <si>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</si>
  <si>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</si>
  <si>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</si>
  <si>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</si>
  <si>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</si>
  <si>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</si>
  <si>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</si>
  <si>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</si>
  <si>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</si>
  <si>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</si>
  <si>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</si>
  <si>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</si>
  <si>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</si>
  <si>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</si>
  <si>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</si>
  <si>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</si>
  <si>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</si>
  <si>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</si>
  <si>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</si>
  <si>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</si>
  <si>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</si>
  <si>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</si>
  <si>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</si>
  <si>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</si>
  <si>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</si>
  <si>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</si>
  <si>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</si>
  <si>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</si>
  <si>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</si>
  <si>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</si>
  <si>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</si>
  <si>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</si>
  <si>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</si>
  <si>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</si>
  <si>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</si>
  <si>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</si>
  <si>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</si>
  <si>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</si>
  <si>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</si>
  <si>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</si>
  <si>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</si>
  <si>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</si>
  <si>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</si>
  <si>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</si>
  <si>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</si>
  <si>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</si>
  <si>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</si>
  <si>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</si>
  <si>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</si>
  <si>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</si>
  <si>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</si>
  <si>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</si>
  <si>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</si>
  <si>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</si>
  <si>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</si>
  <si>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</si>
  <si>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</si>
  <si>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</si>
  <si>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</si>
  <si>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</si>
  <si>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</si>
  <si>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</si>
  <si>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</si>
  <si>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</si>
  <si>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</si>
  <si>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</si>
  <si>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</si>
  <si>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</si>
  <si>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</si>
  <si>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</si>
  <si>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</si>
  <si>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</si>
  <si>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</si>
  <si>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</si>
  <si>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</si>
  <si>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</si>
  <si>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</si>
  <si>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</si>
  <si>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</si>
  <si>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</si>
  <si>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</si>
  <si>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</si>
  <si>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</si>
  <si>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</si>
  <si>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</si>
  <si>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</si>
  <si>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</si>
  <si>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</si>
  <si>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</si>
  <si>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</si>
  <si>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</si>
  <si>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</si>
  <si>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</si>
  <si>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</si>
  <si>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</si>
  <si>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</si>
  <si>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</si>
  <si>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</si>
  <si>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</si>
  <si>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</si>
  <si>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</si>
  <si>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</si>
  <si>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</si>
  <si>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</si>
  <si>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</si>
  <si>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</si>
  <si>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</si>
  <si>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</si>
  <si>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</si>
  <si>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</si>
  <si>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</si>
  <si>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</si>
  <si>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</si>
  <si>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</si>
  <si>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</si>
  <si>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</si>
  <si>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</si>
  <si>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</si>
  <si>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</si>
  <si>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</si>
  <si>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</si>
  <si>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</si>
  <si>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</si>
  <si>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</si>
  <si>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</si>
  <si>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</si>
  <si>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</si>
  <si>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</si>
  <si>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</si>
  <si>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</si>
  <si>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</si>
  <si>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</si>
  <si>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</si>
  <si>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</si>
  <si>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</si>
  <si>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</si>
  <si>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</si>
  <si>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</si>
  <si>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</si>
  <si>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</si>
  <si>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</si>
  <si>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</si>
  <si>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</si>
  <si>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</si>
  <si>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</si>
  <si>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</si>
  <si>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</si>
  <si>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</si>
  <si>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</si>
  <si>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</si>
  <si>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</si>
  <si>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</si>
  <si>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</si>
  <si>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</si>
  <si>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</si>
  <si>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</si>
  <si>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</si>
  <si>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</si>
  <si>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</si>
  <si>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</si>
  <si>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</si>
  <si>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</si>
  <si>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</si>
  <si>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</si>
  <si>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</si>
  <si>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</si>
  <si>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</si>
  <si>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</si>
  <si>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</si>
  <si>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</si>
  <si>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</si>
  <si>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</si>
  <si>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</si>
  <si>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</si>
  <si>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</si>
  <si>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</si>
  <si>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</si>
  <si>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</si>
  <si>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</si>
  <si>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</si>
  <si>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</si>
  <si>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</si>
  <si>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</si>
  <si>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</si>
  <si>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</si>
  <si>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</si>
  <si>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</si>
  <si>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</si>
  <si>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</si>
  <si>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</si>
  <si>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</si>
  <si>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</si>
  <si>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</si>
  <si>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</si>
  <si>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</si>
  <si>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</si>
  <si>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</si>
  <si>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</si>
  <si>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</si>
  <si>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</si>
  <si>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</si>
  <si>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</si>
  <si>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</si>
  <si>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</si>
  <si>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</si>
  <si>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</si>
  <si>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</si>
  <si>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</si>
  <si>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</si>
  <si>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</si>
  <si>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</si>
  <si>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</si>
  <si>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</si>
  <si>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</si>
  <si>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</si>
  <si>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</si>
  <si>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</si>
  <si>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</si>
  <si>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</si>
  <si>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</si>
  <si>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</si>
  <si>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</si>
  <si>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</si>
  <si>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</si>
  <si>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</si>
  <si>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</si>
  <si>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</si>
  <si>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</si>
  <si>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</si>
  <si>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</si>
  <si>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</si>
  <si>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</si>
  <si>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</si>
  <si>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</si>
  <si>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</si>
  <si>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</si>
  <si>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</si>
  <si>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</si>
  <si>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</si>
  <si>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</si>
  <si>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</si>
  <si>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</si>
  <si>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</si>
  <si>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</si>
  <si>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</si>
  <si>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</si>
  <si>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</si>
  <si>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</si>
  <si>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</si>
  <si>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</si>
  <si>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</si>
  <si>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</si>
  <si>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</si>
  <si>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</si>
  <si>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</si>
  <si>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</si>
  <si>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</si>
  <si>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</si>
  <si>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</si>
  <si>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</si>
  <si>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</si>
  <si>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</si>
  <si>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</si>
  <si>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</si>
  <si>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</si>
  <si>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</si>
  <si>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</si>
  <si>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</si>
  <si>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</si>
  <si>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</si>
  <si>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</si>
  <si>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</si>
  <si>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</si>
  <si>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</si>
  <si>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</si>
  <si>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</si>
  <si>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</si>
  <si>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</si>
  <si>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</si>
  <si>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</si>
  <si>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</si>
  <si>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</si>
  <si>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</si>
  <si>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</si>
  <si>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</si>
  <si>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</si>
  <si>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</si>
  <si>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</si>
  <si>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</si>
  <si>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</si>
  <si>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</si>
  <si>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</si>
  <si>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</si>
  <si>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</si>
  <si>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</si>
  <si>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</si>
  <si>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</si>
  <si>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</si>
  <si>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</si>
  <si>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</si>
  <si>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</si>
  <si>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</si>
  <si>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</si>
  <si>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</si>
  <si>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</si>
  <si>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</si>
  <si>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</si>
  <si>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</si>
  <si>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</si>
  <si>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</si>
  <si>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</si>
  <si>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</si>
  <si>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</si>
  <si>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</si>
  <si>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</si>
  <si>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</si>
  <si>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</si>
  <si>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</si>
  <si>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</si>
  <si>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</si>
  <si>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</si>
  <si>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</si>
  <si>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</si>
  <si>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</si>
  <si>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</si>
  <si>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</si>
  <si>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</si>
  <si>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</si>
  <si>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</si>
  <si>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</si>
  <si>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</si>
  <si>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</si>
  <si>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</si>
  <si>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</si>
  <si>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</si>
  <si>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</si>
  <si>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</si>
  <si>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</si>
  <si>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</si>
  <si>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</si>
  <si>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</si>
  <si>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</si>
  <si>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</si>
  <si>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</si>
  <si>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</si>
  <si>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</si>
  <si>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</si>
  <si>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</si>
  <si>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</si>
  <si>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</si>
  <si>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</si>
  <si>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</si>
  <si>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</si>
  <si>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</si>
  <si>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</si>
  <si>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</si>
  <si>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</si>
  <si>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</si>
  <si>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</si>
  <si>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</si>
  <si>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</si>
  <si>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</si>
  <si>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</si>
  <si>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</si>
  <si>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</si>
  <si>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</si>
  <si>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</si>
  <si>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</si>
  <si>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</si>
  <si>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</si>
  <si>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</si>
  <si>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</si>
  <si>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</si>
  <si>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</si>
  <si>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</si>
  <si>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</si>
  <si>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</si>
  <si>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</si>
  <si>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</si>
  <si>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</si>
  <si>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</si>
  <si>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</si>
  <si>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</si>
  <si>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</si>
  <si>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</si>
  <si>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</si>
  <si>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</si>
  <si>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</si>
  <si>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</si>
  <si>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</si>
  <si>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</si>
  <si>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</si>
  <si>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</si>
  <si>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</si>
  <si>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</si>
  <si>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</si>
  <si>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</si>
  <si>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</si>
  <si>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</si>
  <si>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</si>
  <si>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</si>
  <si>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</si>
  <si>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</si>
  <si>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</si>
  <si>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</si>
  <si>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</si>
  <si>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</si>
  <si>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</si>
  <si>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</si>
  <si>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</si>
  <si>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</si>
  <si>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</si>
  <si>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</si>
  <si>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</si>
  <si>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</si>
  <si>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</si>
  <si>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</si>
  <si>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</si>
  <si>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</si>
  <si>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</si>
  <si>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</si>
  <si>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</si>
  <si>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</si>
  <si>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</si>
  <si>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</si>
  <si>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</si>
  <si>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</si>
  <si>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</si>
  <si>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</si>
  <si>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</si>
  <si>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</si>
  <si>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</si>
  <si>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</si>
  <si>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</si>
  <si>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</si>
  <si>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</si>
  <si>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</si>
  <si>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</si>
  <si>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</si>
  <si>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</si>
  <si>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</si>
  <si>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</si>
  <si>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</si>
  <si>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</si>
  <si>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</si>
  <si>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</si>
  <si>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</si>
  <si>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</si>
  <si>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</si>
  <si>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</si>
  <si>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</si>
  <si>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</si>
  <si>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</si>
  <si>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</si>
  <si>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</si>
  <si>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</si>
  <si>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</si>
  <si>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</si>
  <si>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</si>
  <si>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</si>
  <si>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</si>
  <si>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</si>
  <si>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</si>
  <si>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</si>
  <si>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</si>
  <si>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</si>
  <si>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</si>
  <si>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</si>
  <si>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</si>
  <si>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</si>
  <si>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</si>
  <si>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</si>
  <si>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</si>
  <si>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</si>
  <si>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</si>
  <si>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</si>
  <si>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</si>
  <si>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</si>
  <si>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</si>
  <si>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</si>
  <si>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</si>
  <si>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</si>
  <si>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</si>
  <si>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</si>
  <si>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</si>
  <si>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</si>
  <si>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</si>
  <si>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</si>
  <si>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</si>
  <si>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</si>
  <si>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</si>
  <si>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</si>
  <si>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</si>
  <si>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</si>
  <si>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</si>
  <si>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</si>
  <si>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</si>
  <si>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</si>
  <si>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</si>
  <si>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</si>
  <si>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</si>
  <si>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</si>
  <si>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</si>
  <si>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</si>
  <si>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</si>
  <si>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</si>
  <si>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</si>
  <si>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</si>
  <si>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</si>
  <si>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</si>
  <si>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</si>
  <si>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</si>
  <si>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</si>
  <si>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</si>
  <si>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</si>
  <si>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</si>
  <si>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</si>
  <si>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</si>
  <si>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</si>
  <si>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</si>
  <si>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</si>
  <si>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</si>
  <si>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</si>
  <si>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</si>
  <si>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</si>
  <si>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</si>
  <si>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</si>
  <si>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</si>
  <si>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</si>
  <si>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</si>
  <si>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</si>
  <si>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</si>
  <si>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</si>
  <si>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</si>
  <si>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</si>
  <si>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</si>
  <si>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</si>
  <si>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</si>
  <si>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</si>
  <si>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</si>
  <si>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</si>
  <si>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</si>
  <si>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</si>
  <si>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</si>
  <si>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</si>
  <si>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</si>
  <si>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</si>
  <si>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</si>
  <si>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</si>
  <si>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</si>
  <si>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</si>
  <si>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</si>
  <si>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</si>
  <si>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</si>
  <si>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</si>
  <si>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</si>
  <si>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</si>
  <si>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</si>
  <si>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</si>
  <si>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</si>
  <si>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</si>
  <si>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</si>
  <si>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</si>
  <si>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</si>
  <si>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</si>
  <si>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</si>
  <si>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</si>
  <si>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</si>
  <si>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</si>
  <si>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</si>
  <si>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</si>
  <si>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</si>
  <si>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</si>
  <si>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</si>
  <si>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</si>
  <si>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</si>
  <si>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</si>
  <si>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</si>
  <si>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</si>
  <si>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</si>
  <si>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</si>
  <si>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</si>
  <si>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</si>
  <si>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</si>
  <si>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</si>
  <si>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</si>
  <si>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</si>
  <si>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</si>
  <si>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</si>
  <si>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</si>
  <si>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</si>
  <si>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</si>
  <si>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</si>
  <si>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</si>
  <si>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</si>
  <si>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</si>
  <si>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</si>
  <si>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</si>
  <si>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</si>
  <si>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</si>
  <si>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</si>
  <si>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</si>
  <si>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</si>
  <si>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</si>
  <si>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</si>
  <si>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</si>
  <si>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</si>
  <si>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</si>
  <si>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</si>
  <si>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</si>
  <si>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</si>
  <si>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</si>
  <si>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</si>
  <si>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</si>
  <si>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</si>
  <si>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</si>
  <si>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</si>
  <si>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</si>
  <si>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</si>
  <si>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</si>
  <si>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</si>
  <si>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</si>
  <si>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</si>
  <si>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</si>
  <si>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</si>
  <si>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</si>
  <si>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</si>
  <si>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</si>
  <si>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</si>
  <si>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</si>
  <si>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</si>
  <si>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</si>
  <si>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</si>
  <si>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</si>
  <si>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</si>
  <si>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</si>
  <si>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</si>
  <si>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</si>
  <si>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</si>
  <si>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</si>
  <si>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</si>
  <si>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</si>
  <si>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</si>
  <si>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</si>
  <si>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</si>
  <si>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</si>
  <si>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</si>
  <si>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</si>
  <si>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</si>
  <si>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</si>
  <si>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</si>
  <si>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</si>
  <si>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</si>
  <si>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</si>
  <si>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</si>
  <si>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</si>
  <si>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</si>
  <si>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</si>
  <si>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</si>
  <si>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</si>
  <si>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</si>
  <si>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</si>
  <si>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</si>
  <si>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</si>
  <si>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</si>
  <si>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</si>
  <si>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</si>
  <si>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</si>
  <si>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</si>
  <si>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</si>
  <si>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</si>
  <si>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</si>
  <si>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</si>
  <si>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</si>
  <si>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</si>
  <si>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</si>
  <si>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</si>
  <si>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</si>
  <si>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</si>
  <si>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</si>
  <si>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</si>
  <si>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</si>
  <si>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</si>
  <si>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</si>
  <si>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</si>
  <si>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</si>
  <si>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</si>
  <si>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</si>
  <si>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</si>
  <si>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</si>
  <si>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</si>
  <si>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</si>
  <si>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</si>
  <si>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</si>
  <si>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</si>
  <si>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</si>
  <si>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</si>
  <si>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</si>
  <si>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</si>
  <si>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</si>
  <si>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</si>
  <si>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</si>
  <si>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</si>
  <si>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</si>
  <si>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</si>
  <si>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</si>
  <si>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</si>
  <si>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</si>
  <si>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</si>
  <si>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</si>
  <si>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</si>
  <si>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</si>
  <si>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</si>
  <si>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</si>
  <si>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</si>
  <si>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</si>
  <si>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</si>
  <si>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</si>
  <si>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</si>
  <si>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</si>
  <si>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</si>
  <si>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</si>
  <si>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</si>
  <si>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</si>
  <si>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</si>
  <si>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</si>
  <si>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</si>
  <si>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</si>
  <si>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</si>
  <si>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</si>
  <si>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</si>
  <si>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</si>
  <si>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</si>
  <si>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</si>
  <si>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</si>
  <si>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</si>
  <si>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</si>
  <si>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</si>
  <si>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</si>
  <si>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</si>
  <si>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</si>
  <si>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</si>
  <si>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</si>
  <si>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</si>
  <si>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</si>
  <si>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</si>
  <si>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</si>
  <si>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</si>
  <si>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</si>
  <si>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</si>
  <si>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</si>
  <si>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</si>
  <si>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</si>
  <si>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</si>
  <si>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</si>
  <si>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</si>
  <si>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</si>
  <si>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</si>
  <si>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</si>
  <si>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</si>
  <si>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</si>
  <si>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</si>
  <si>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</si>
  <si>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</si>
  <si>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</si>
  <si>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</si>
  <si>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</si>
  <si>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</si>
  <si>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</si>
  <si>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</si>
  <si>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</si>
  <si>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</si>
  <si>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</si>
  <si>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</si>
  <si>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</si>
  <si>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</si>
  <si>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</si>
  <si>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</si>
  <si>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</si>
  <si>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</si>
  <si>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</si>
  <si>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</si>
  <si>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</si>
  <si>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</si>
  <si>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</si>
  <si>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</si>
  <si>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</si>
  <si>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</si>
  <si>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</si>
  <si>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</si>
  <si>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</si>
  <si>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</si>
  <si>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</si>
  <si>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</si>
  <si>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</si>
  <si>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</si>
  <si>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</si>
  <si>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</si>
  <si>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</si>
  <si>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</si>
  <si>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</si>
  <si>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</si>
  <si>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</si>
  <si>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</si>
  <si>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</si>
  <si>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</si>
  <si>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</si>
  <si>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</si>
  <si>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</si>
  <si>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</si>
  <si>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</si>
  <si>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</si>
  <si>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</si>
  <si>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</si>
  <si>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</si>
  <si>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</si>
  <si>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</si>
  <si>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</si>
  <si>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</si>
  <si>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</si>
  <si>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</si>
  <si>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</si>
  <si>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</si>
  <si>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</si>
  <si>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</si>
  <si>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</si>
  <si>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</si>
  <si>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</si>
  <si>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</si>
  <si>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</si>
  <si>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</si>
  <si>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</si>
  <si>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</si>
  <si>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</si>
  <si>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</si>
  <si>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</si>
  <si>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</si>
  <si>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</si>
  <si>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</si>
  <si>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</si>
  <si>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</si>
  <si>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</si>
  <si>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</si>
  <si>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</si>
  <si>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</si>
  <si>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</si>
  <si>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</si>
  <si>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</si>
  <si>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</si>
  <si>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</si>
  <si>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</si>
  <si>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</si>
  <si>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</si>
  <si>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</si>
  <si>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</si>
  <si>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</si>
  <si>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</si>
  <si>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</si>
  <si>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</si>
  <si>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</si>
  <si>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</si>
  <si>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</si>
  <si>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</si>
  <si>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</si>
  <si>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</si>
  <si>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</si>
  <si>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</si>
  <si>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</si>
  <si>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</si>
  <si>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</si>
  <si>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</si>
  <si>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</si>
  <si>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</si>
  <si>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</si>
  <si>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</si>
  <si>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</si>
  <si>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</si>
  <si>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</si>
  <si>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</si>
  <si>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</si>
  <si>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</si>
  <si>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</si>
  <si>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</si>
  <si>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</si>
  <si>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</si>
  <si>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</si>
  <si>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</si>
  <si>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</si>
  <si>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</si>
  <si>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</si>
  <si>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</si>
  <si>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</si>
  <si>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</si>
  <si>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</si>
  <si>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</si>
  <si>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</si>
  <si>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</si>
  <si>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</si>
  <si>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</si>
  <si>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</si>
  <si>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</si>
  <si>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</si>
  <si>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</si>
  <si>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</si>
  <si>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</si>
  <si>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</si>
  <si>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</si>
  <si>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</si>
  <si>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</si>
  <si>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</si>
  <si>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</si>
  <si>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</si>
  <si>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</si>
  <si>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</si>
  <si>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</si>
  <si>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</si>
  <si>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</si>
  <si>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</si>
  <si>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</si>
  <si>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</si>
  <si>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</si>
  <si>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</si>
  <si>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</si>
  <si>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</si>
  <si>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</si>
  <si>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</si>
  <si>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</si>
  <si>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</si>
  <si>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</si>
  <si>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</si>
  <si>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</si>
  <si>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</si>
  <si>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</si>
  <si>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</si>
  <si>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</si>
  <si>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</si>
  <si>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</si>
  <si>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</si>
  <si>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</si>
  <si>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</si>
  <si>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</si>
  <si>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</si>
  <si>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</si>
  <si>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</si>
  <si>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</si>
  <si>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</si>
  <si>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</si>
  <si>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</si>
  <si>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</si>
  <si>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</si>
  <si>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</si>
  <si>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</si>
  <si>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</si>
  <si>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</si>
  <si>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</si>
  <si>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</si>
  <si>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</si>
  <si>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</si>
  <si>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</si>
  <si>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</si>
  <si>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</si>
  <si>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</si>
  <si>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</si>
  <si>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</si>
  <si>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</si>
  <si>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</si>
  <si>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</si>
  <si>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</si>
  <si>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</si>
  <si>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</si>
  <si>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</si>
  <si>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</si>
  <si>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</si>
  <si>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</si>
  <si>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</si>
  <si>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</si>
  <si>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</si>
  <si>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</si>
  <si>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</si>
  <si>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</si>
  <si>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</si>
  <si>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</si>
  <si>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</si>
  <si>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</si>
  <si>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</si>
  <si>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</si>
  <si>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</si>
  <si>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</si>
  <si>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</si>
  <si>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</si>
  <si>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</si>
  <si>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</si>
  <si>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</si>
  <si>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</si>
  <si>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</si>
  <si>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</si>
  <si>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</si>
  <si>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</si>
  <si>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</si>
  <si>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</si>
  <si>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</si>
  <si>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</si>
  <si>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</si>
  <si>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</si>
  <si>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</si>
  <si>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</si>
  <si>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</si>
  <si>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</si>
  <si>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</si>
  <si>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</si>
  <si>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</si>
  <si>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</si>
  <si>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</si>
  <si>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</si>
  <si>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</si>
  <si>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</si>
  <si>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</si>
  <si>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</si>
  <si>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</si>
  <si>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</si>
  <si>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</si>
  <si>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</si>
  <si>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</si>
  <si>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</si>
  <si>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</si>
  <si>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</si>
  <si>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</si>
  <si>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</si>
  <si>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</si>
  <si>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</si>
  <si>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</si>
  <si>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</si>
  <si>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</si>
  <si>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</si>
  <si>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</si>
  <si>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</si>
  <si>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</si>
  <si>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</si>
  <si>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</si>
  <si>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</si>
  <si>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</si>
  <si>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</si>
  <si>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</si>
  <si>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</si>
  <si>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</si>
  <si>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</si>
  <si>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</si>
  <si>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</si>
  <si>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</si>
  <si>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</si>
  <si>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</si>
  <si>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</si>
  <si>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</si>
  <si>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</si>
  <si>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</si>
  <si>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</si>
  <si>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</si>
  <si>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</si>
  <si>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</si>
  <si>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</si>
  <si>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</si>
  <si>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</si>
  <si>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</si>
  <si>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</si>
  <si>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</si>
  <si>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</si>
  <si>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</si>
  <si>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</si>
  <si>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</si>
  <si>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</si>
  <si>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</si>
  <si>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</si>
  <si>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</si>
  <si>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</si>
  <si>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</si>
  <si>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</si>
  <si>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</si>
  <si>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</si>
  <si>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</si>
  <si>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</si>
  <si>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</si>
  <si>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</si>
  <si>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</si>
  <si>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</si>
  <si>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</si>
  <si>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</si>
  <si>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</si>
  <si>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</si>
  <si>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</si>
  <si>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</si>
  <si>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</si>
  <si>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</si>
  <si>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</si>
  <si>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</si>
  <si>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</si>
  <si>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</si>
  <si>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</si>
  <si>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</si>
  <si>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</si>
  <si>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</si>
  <si>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</si>
  <si>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</si>
  <si>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</si>
  <si>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</si>
  <si>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</si>
  <si>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</si>
  <si>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</si>
  <si>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</si>
  <si>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</si>
  <si>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</si>
  <si>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</si>
  <si>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</si>
  <si>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</si>
  <si>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</si>
  <si>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</si>
  <si>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</si>
  <si>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</si>
  <si>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</si>
  <si>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</si>
  <si>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</si>
  <si>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</si>
  <si>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</si>
  <si>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</si>
  <si>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</si>
  <si>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</si>
  <si>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</si>
  <si>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</si>
  <si>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</si>
  <si>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</si>
  <si>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</si>
  <si>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</si>
  <si>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</si>
  <si>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</si>
  <si>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</si>
  <si>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</si>
  <si>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</si>
  <si>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</si>
  <si>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</si>
  <si>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</si>
  <si>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</si>
  <si>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</si>
  <si>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</si>
  <si>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</si>
  <si>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</si>
  <si>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</si>
  <si>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</si>
  <si>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</si>
  <si>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</si>
  <si>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</si>
  <si>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</si>
  <si>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</si>
  <si>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</si>
  <si>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</si>
  <si>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</si>
  <si>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</si>
  <si>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</si>
  <si>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</si>
  <si>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</si>
  <si>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</si>
  <si>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</si>
  <si>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</si>
  <si>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</si>
  <si>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</si>
  <si>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</si>
  <si>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</si>
  <si>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</si>
  <si>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</si>
  <si>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</si>
  <si>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</si>
  <si>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</si>
  <si>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</si>
  <si>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</si>
  <si>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</si>
  <si>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</si>
  <si>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</si>
  <si>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</si>
  <si>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</si>
  <si>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</si>
  <si>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</si>
  <si>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</si>
  <si>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</si>
  <si>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</si>
  <si>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</si>
  <si>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</si>
  <si>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</si>
  <si>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</si>
  <si>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</si>
  <si>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</si>
  <si>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</si>
  <si>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</si>
  <si>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</si>
  <si>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</si>
  <si>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</si>
  <si>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</si>
  <si>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</si>
  <si>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</si>
  <si>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</si>
  <si>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</si>
  <si>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</si>
  <si>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</si>
  <si>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</si>
  <si>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</si>
  <si>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</si>
  <si>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</si>
  <si>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</si>
  <si>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</si>
  <si>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</si>
  <si>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</si>
  <si>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</si>
  <si>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</si>
  <si>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</si>
  <si>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</si>
  <si>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</si>
  <si>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</si>
  <si>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</si>
  <si>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</si>
  <si>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</si>
  <si>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</si>
  <si>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</si>
  <si>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</si>
  <si>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</si>
  <si>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</si>
  <si>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</si>
  <si>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</si>
  <si>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</si>
  <si>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</si>
  <si>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</si>
  <si>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</si>
  <si>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</si>
  <si>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</si>
  <si>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</si>
  <si>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</si>
  <si>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</si>
  <si>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</si>
  <si>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</si>
  <si>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</si>
  <si>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</si>
  <si>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</si>
  <si>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</si>
  <si>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</si>
  <si>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</si>
  <si>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</si>
  <si>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</si>
  <si>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</si>
  <si>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</si>
  <si>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</si>
  <si>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</si>
  <si>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</si>
  <si>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</si>
  <si>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</si>
  <si>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</si>
  <si>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</si>
  <si>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</si>
  <si>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</si>
  <si>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</si>
  <si>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</si>
  <si>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</si>
  <si>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</si>
  <si>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</si>
  <si>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</si>
  <si>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</si>
  <si>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</si>
  <si>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</si>
  <si>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</si>
  <si>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</si>
  <si>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</si>
  <si>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</si>
  <si>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</si>
  <si>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</si>
  <si>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</si>
  <si>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</si>
  <si>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</si>
  <si>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</si>
  <si>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</si>
  <si>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</si>
  <si>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</si>
  <si>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</si>
  <si>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</si>
  <si>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</si>
  <si>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</si>
  <si>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</si>
  <si>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</si>
  <si>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</si>
  <si>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</si>
  <si>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</si>
  <si>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</si>
  <si>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</si>
  <si>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</si>
  <si>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</si>
  <si>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</si>
  <si>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</si>
  <si>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</si>
  <si>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</si>
  <si>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</si>
  <si>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</si>
  <si>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</si>
  <si>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</si>
  <si>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</si>
  <si>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</si>
  <si>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</si>
  <si>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</si>
  <si>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</si>
  <si>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</si>
  <si>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</si>
  <si>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</si>
  <si>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</si>
  <si>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</si>
  <si>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</si>
  <si>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</si>
  <si>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</si>
  <si>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</si>
  <si>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</si>
  <si>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</si>
  <si>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</si>
  <si>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</si>
  <si>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</si>
  <si>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</si>
  <si>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</si>
  <si>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</si>
  <si>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</si>
  <si>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</si>
  <si>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</si>
  <si>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</si>
  <si>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</si>
  <si>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</si>
  <si>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</si>
  <si>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</si>
  <si>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</si>
  <si>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</si>
  <si>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</si>
  <si>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</si>
  <si>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</si>
  <si>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</si>
  <si>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</si>
  <si>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</si>
  <si>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</si>
  <si>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</si>
  <si>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</si>
  <si>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</si>
  <si>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</si>
  <si>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</si>
  <si>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</si>
  <si>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</si>
  <si>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</si>
  <si>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</si>
  <si>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</si>
  <si>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</si>
  <si>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</si>
  <si>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</si>
  <si>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</si>
  <si>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</si>
  <si>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</si>
  <si>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</si>
  <si>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</si>
  <si>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</si>
  <si>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</si>
  <si>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</si>
  <si>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</si>
  <si>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</si>
  <si>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</si>
  <si>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</si>
  <si>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</si>
  <si>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</si>
  <si>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</si>
  <si>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</si>
  <si>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</si>
  <si>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</si>
  <si>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</si>
  <si>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</si>
  <si>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</si>
  <si>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</si>
  <si>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</si>
  <si>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</si>
  <si>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</si>
  <si>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</si>
  <si>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</si>
  <si>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</si>
  <si>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</si>
  <si>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</si>
  <si>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</si>
  <si>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</si>
  <si>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</si>
  <si>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</si>
  <si>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</si>
  <si>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</si>
  <si>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</si>
  <si>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</si>
  <si>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</si>
  <si>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</si>
  <si>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</si>
  <si>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</si>
  <si>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</si>
  <si>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</si>
  <si>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</si>
  <si>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</si>
  <si>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</si>
  <si>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</si>
  <si>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</si>
  <si>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</si>
  <si>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</si>
  <si>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</si>
  <si>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</si>
  <si>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</si>
  <si>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</si>
  <si>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</si>
  <si>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</si>
  <si>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</si>
  <si>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</si>
  <si>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</si>
  <si>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</si>
  <si>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</si>
  <si>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</si>
  <si>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</si>
  <si>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</si>
  <si>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</si>
  <si>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</si>
  <si>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</si>
  <si>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</si>
  <si>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</si>
  <si>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</si>
  <si>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</si>
  <si>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</si>
  <si>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</si>
  <si>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</si>
  <si>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</si>
  <si>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</si>
  <si>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</si>
  <si>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</si>
  <si>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</si>
  <si>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</si>
  <si>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</si>
  <si>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</si>
  <si>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</si>
  <si>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</si>
  <si>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</si>
  <si>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</si>
  <si>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</si>
  <si>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</si>
  <si>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</si>
  <si>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</si>
  <si>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</si>
  <si>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</si>
  <si>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</si>
  <si>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</si>
  <si>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</si>
  <si>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</si>
  <si>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</si>
  <si>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</si>
  <si>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</si>
  <si>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</si>
  <si>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</si>
  <si>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</si>
  <si>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</si>
  <si>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</si>
  <si>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</si>
  <si>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</si>
  <si>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</si>
  <si>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</si>
  <si>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</si>
  <si>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</si>
  <si>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</si>
  <si>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</si>
  <si>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</si>
  <si>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</si>
  <si>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</si>
  <si>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</si>
  <si>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</si>
  <si>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</si>
  <si>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</si>
  <si>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</si>
  <si>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</si>
  <si>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</si>
  <si>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</si>
  <si>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</si>
  <si>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</si>
  <si>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</si>
  <si>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</si>
  <si>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</si>
  <si>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</si>
  <si>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</si>
  <si>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</si>
  <si>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</si>
  <si>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</si>
  <si>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</si>
  <si>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</si>
  <si>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</si>
  <si>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</si>
  <si>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</si>
  <si>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</si>
  <si>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</si>
  <si>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</si>
  <si>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</si>
  <si>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</si>
  <si>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</si>
  <si>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</si>
  <si>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</si>
  <si>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</si>
  <si>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</si>
  <si>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</si>
  <si>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</si>
  <si>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</si>
  <si>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</si>
  <si>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</si>
  <si>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</si>
  <si>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</si>
  <si>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</si>
  <si>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</si>
  <si>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</si>
  <si>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</si>
  <si>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</si>
  <si>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</si>
  <si>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</si>
  <si>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</si>
  <si>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</si>
  <si>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</si>
  <si>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</si>
  <si>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</si>
  <si>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</si>
  <si>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</si>
  <si>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</si>
  <si>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</si>
  <si>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</si>
  <si>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</si>
  <si>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</si>
  <si>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</si>
  <si>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</si>
  <si>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</si>
  <si>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</si>
  <si>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</si>
  <si>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</si>
  <si>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</si>
  <si>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</si>
  <si>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</si>
  <si>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</si>
  <si>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</si>
  <si>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</si>
  <si>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</si>
  <si>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</si>
  <si>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</si>
  <si>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</si>
  <si>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</si>
  <si>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</si>
  <si>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</si>
  <si>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</si>
  <si>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</si>
  <si>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</si>
  <si>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</si>
  <si>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</si>
  <si>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</si>
  <si>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</si>
  <si>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</si>
  <si>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</si>
  <si>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</si>
  <si>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</si>
  <si>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</si>
  <si>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</si>
  <si>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</si>
  <si>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</si>
  <si>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</si>
  <si>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</si>
  <si>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</si>
  <si>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</si>
  <si>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</si>
  <si>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</si>
  <si>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</si>
  <si>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</si>
  <si>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</si>
  <si>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</si>
  <si>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</si>
  <si>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</si>
  <si>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</si>
  <si>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</si>
  <si>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</si>
  <si>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</si>
  <si>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</si>
  <si>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</si>
  <si>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</si>
  <si>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</si>
  <si>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</si>
  <si>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</si>
  <si>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</si>
  <si>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</si>
  <si>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</si>
  <si>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</si>
  <si>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</si>
  <si>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</si>
  <si>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</si>
  <si>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</si>
  <si>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</si>
  <si>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</si>
  <si>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</si>
  <si>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</si>
  <si>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</si>
  <si>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</si>
  <si>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</si>
  <si>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</si>
  <si>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</si>
  <si>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</si>
  <si>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</si>
  <si>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</si>
  <si>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</si>
  <si>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</si>
  <si>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</si>
  <si>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</si>
  <si>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</si>
  <si>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</si>
  <si>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</si>
  <si>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</si>
  <si>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</si>
  <si>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</si>
  <si>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</si>
  <si>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</si>
  <si>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</si>
  <si>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</si>
  <si>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</si>
  <si>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</si>
  <si>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</si>
  <si>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</si>
  <si>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</si>
  <si>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</si>
  <si>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</si>
  <si>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</si>
  <si>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</si>
  <si>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</si>
  <si>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</si>
  <si>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</si>
  <si>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</si>
  <si>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</si>
  <si>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</si>
  <si>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</si>
  <si>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</si>
  <si>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</si>
  <si>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</si>
  <si>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</si>
  <si>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</si>
  <si>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</si>
  <si>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</si>
  <si>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</si>
  <si>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</si>
  <si>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</si>
  <si>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</si>
  <si>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</si>
  <si>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</si>
  <si>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</si>
  <si>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</si>
  <si>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</si>
  <si>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</si>
  <si>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</si>
  <si>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</si>
  <si>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</si>
  <si>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</si>
  <si>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</si>
  <si>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</si>
  <si>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</si>
  <si>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</si>
  <si>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</si>
  <si>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</si>
  <si>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</si>
  <si>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</si>
  <si>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</si>
  <si>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</si>
  <si>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</si>
  <si>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</si>
  <si>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</si>
  <si>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</si>
  <si>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</si>
  <si>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</si>
  <si>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</si>
  <si>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</si>
  <si>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</si>
  <si>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</si>
  <si>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</si>
  <si>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</si>
  <si>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</si>
  <si>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</si>
  <si>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</si>
  <si>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</si>
  <si>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</si>
  <si>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</si>
  <si>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</si>
  <si>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</si>
  <si>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</si>
  <si>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</si>
  <si>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</si>
  <si>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</si>
  <si>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</si>
  <si>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</si>
  <si>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</si>
  <si>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</si>
  <si>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</si>
  <si>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</si>
  <si>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</si>
  <si>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</si>
  <si>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</si>
  <si>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</si>
  <si>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</si>
  <si>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</si>
  <si>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</si>
  <si>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</si>
  <si>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</si>
  <si>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</si>
  <si>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</si>
  <si>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</si>
  <si>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</si>
  <si>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</si>
  <si>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</si>
  <si>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</si>
  <si>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</si>
  <si>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</si>
  <si>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</si>
  <si>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</si>
  <si>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</si>
  <si>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</si>
  <si>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</si>
  <si>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</si>
  <si>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</si>
  <si>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</si>
  <si>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</si>
  <si>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</si>
  <si>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</si>
  <si>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</si>
  <si>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</si>
  <si>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</si>
  <si>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</si>
  <si>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</si>
  <si>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</si>
  <si>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</si>
  <si>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</si>
  <si>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</si>
  <si>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</si>
  <si>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</si>
  <si>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</si>
  <si>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</si>
  <si>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</si>
  <si>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</si>
  <si>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</si>
  <si>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</si>
  <si>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</si>
  <si>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</si>
  <si>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</si>
  <si>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</si>
  <si>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</si>
  <si>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</si>
  <si>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</si>
  <si>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</si>
  <si>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</si>
  <si>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</si>
  <si>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</si>
  <si>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</si>
  <si>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</si>
  <si>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</si>
  <si>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</si>
  <si>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</si>
  <si>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</si>
  <si>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</si>
  <si>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</si>
  <si>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</si>
  <si>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</si>
  <si>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</si>
  <si>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</si>
  <si>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</si>
  <si>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</si>
  <si>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</si>
  <si>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</si>
  <si>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</si>
  <si>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</si>
  <si>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</si>
  <si>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</si>
  <si>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</si>
  <si>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</si>
  <si>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</si>
  <si>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</si>
  <si>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</si>
  <si>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</si>
  <si>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</si>
  <si>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</si>
  <si>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</si>
  <si>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</si>
  <si>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</si>
  <si>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</si>
  <si>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</si>
  <si>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</si>
  <si>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</si>
  <si>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</si>
  <si>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</si>
  <si>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</si>
  <si>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</si>
  <si>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</si>
  <si>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</si>
  <si>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</si>
  <si>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</si>
  <si>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</si>
  <si>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</si>
  <si>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</si>
  <si>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</si>
  <si>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</si>
  <si>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</si>
  <si>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</si>
  <si>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</si>
  <si>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</si>
  <si>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</si>
  <si>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</si>
  <si>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</si>
  <si>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</si>
  <si>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</si>
  <si>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</si>
  <si>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</si>
  <si>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</si>
  <si>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</si>
  <si>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</si>
  <si>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</si>
  <si>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</si>
  <si>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</si>
  <si>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</si>
  <si>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</si>
  <si>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</si>
  <si>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</si>
  <si>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</si>
  <si>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</si>
  <si>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</si>
  <si>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</si>
  <si>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</si>
  <si>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</si>
  <si>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</si>
  <si>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</si>
  <si>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</si>
  <si>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</si>
  <si>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</si>
  <si>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</si>
  <si>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</si>
  <si>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</si>
  <si>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</si>
  <si>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</si>
  <si>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</si>
  <si>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</si>
  <si>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</si>
  <si>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</si>
  <si>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</si>
  <si>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</si>
  <si>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</si>
  <si>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</si>
  <si>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</si>
  <si>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</si>
  <si>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</si>
  <si>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</si>
  <si>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</si>
  <si>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</si>
  <si>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</si>
  <si>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</si>
  <si>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</si>
  <si>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</si>
  <si>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</si>
  <si>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</si>
  <si>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</si>
  <si>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</si>
  <si>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</si>
  <si>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</si>
  <si>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</si>
  <si>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</si>
  <si>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</si>
  <si>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</si>
  <si>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</si>
  <si>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</si>
  <si>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</si>
  <si>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</si>
  <si>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</si>
  <si>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</si>
  <si>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</si>
  <si>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</si>
  <si>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</si>
  <si>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</si>
  <si>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</si>
  <si>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</si>
  <si>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</si>
  <si>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</si>
  <si>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</si>
  <si>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</si>
  <si>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</si>
  <si>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</si>
  <si>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</si>
  <si>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</si>
  <si>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</si>
  <si>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</si>
  <si>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</si>
  <si>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</si>
  <si>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</si>
  <si>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</si>
  <si>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</si>
  <si>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</si>
  <si>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</si>
  <si>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</si>
  <si>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</si>
  <si>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</si>
  <si>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</si>
  <si>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</si>
  <si>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</si>
  <si>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</si>
  <si>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</si>
  <si>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</si>
  <si>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</si>
  <si>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</si>
  <si>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</si>
  <si>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</si>
  <si>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</si>
  <si>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</si>
  <si>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</si>
  <si>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</si>
  <si>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</si>
  <si>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</si>
  <si>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</si>
  <si>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</si>
  <si>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</si>
  <si>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</si>
  <si>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</si>
  <si>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</si>
  <si>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</si>
  <si>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</si>
  <si>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</si>
  <si>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</si>
  <si>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</si>
  <si>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</si>
  <si>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</si>
  <si>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</si>
  <si>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</si>
  <si>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</si>
  <si>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</si>
  <si>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</si>
  <si>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</si>
  <si>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</si>
  <si>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</si>
  <si>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</si>
  <si>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</si>
  <si>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</si>
  <si>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</si>
  <si>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</si>
  <si>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</si>
  <si>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</si>
  <si>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</si>
  <si>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</si>
  <si>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</si>
  <si>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</si>
  <si>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</si>
  <si>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</si>
  <si>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</si>
  <si>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</si>
  <si>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</si>
  <si>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</si>
  <si>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</si>
  <si>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</si>
  <si>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</si>
  <si>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</si>
  <si>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</si>
  <si>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</si>
  <si>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</si>
  <si>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</si>
  <si>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</si>
  <si>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</si>
  <si>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</si>
  <si>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</si>
  <si>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</si>
  <si>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</si>
  <si>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</si>
  <si>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</si>
  <si>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</si>
  <si>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</si>
  <si>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</si>
  <si>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</si>
  <si>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</si>
  <si>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</si>
  <si>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</si>
  <si>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</si>
  <si>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</si>
  <si>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</si>
  <si>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</si>
  <si>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</si>
  <si>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</si>
  <si>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</si>
  <si>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</si>
  <si>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</si>
  <si>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</si>
  <si>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</si>
  <si>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</si>
  <si>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</si>
  <si>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</si>
  <si>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</si>
  <si>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</si>
  <si>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</si>
  <si>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</si>
  <si>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</si>
  <si>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</si>
  <si>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</si>
  <si>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</si>
  <si>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</si>
  <si>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</si>
  <si>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</si>
  <si>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</si>
  <si>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</si>
  <si>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</si>
  <si>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</si>
  <si>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</si>
  <si>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</si>
  <si>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</si>
  <si>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</si>
  <si>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</si>
  <si>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</si>
  <si>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</si>
  <si>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</si>
  <si>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</si>
  <si>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</si>
  <si>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</si>
  <si>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</si>
  <si>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</si>
  <si>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</si>
  <si>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</si>
  <si>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</si>
  <si>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</si>
  <si>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</si>
  <si>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</si>
  <si>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</si>
  <si>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</si>
  <si>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</si>
  <si>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</si>
  <si>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</si>
  <si>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</si>
  <si>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</si>
  <si>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</si>
  <si>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</si>
  <si>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</si>
  <si>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</si>
  <si>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</si>
  <si>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</si>
  <si>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</si>
  <si>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</si>
  <si>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</si>
  <si>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</si>
  <si>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</si>
  <si>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</si>
  <si>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</si>
  <si>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</si>
  <si>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</si>
  <si>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</si>
  <si>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</si>
  <si>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</si>
  <si>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</si>
  <si>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</si>
  <si>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</si>
  <si>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</si>
  <si>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</si>
  <si>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</si>
  <si>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</si>
  <si>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</si>
  <si>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</si>
  <si>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</si>
  <si>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</si>
  <si>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</si>
  <si>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</si>
  <si>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</si>
  <si>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</si>
  <si>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</si>
  <si>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</si>
  <si>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</si>
  <si>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</si>
  <si>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</si>
  <si>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</si>
  <si>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</si>
  <si>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</si>
  <si>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</si>
  <si>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</si>
  <si>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</si>
  <si>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</si>
  <si>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</si>
  <si>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</si>
  <si>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</si>
  <si>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</si>
  <si>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</si>
  <si>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</si>
  <si>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</si>
  <si>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</si>
  <si>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</si>
  <si>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</si>
  <si>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</si>
  <si>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</si>
  <si>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</si>
  <si>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</si>
  <si>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</si>
  <si>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</si>
  <si>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</si>
  <si>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</si>
  <si>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</si>
  <si>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</si>
  <si>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</si>
  <si>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</si>
  <si>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</si>
  <si>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</si>
  <si>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</si>
  <si>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</si>
  <si>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</si>
  <si>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</si>
  <si>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</si>
  <si>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</si>
  <si>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</si>
  <si>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</si>
  <si>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</si>
  <si>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</si>
  <si>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</si>
  <si>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</si>
  <si>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</si>
  <si>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</si>
  <si>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</si>
  <si>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</si>
  <si>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</si>
  <si>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</si>
  <si>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</si>
  <si>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</si>
  <si>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</si>
  <si>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</si>
  <si>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</si>
  <si>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</si>
  <si>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</si>
  <si>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</si>
  <si>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</si>
  <si>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</si>
  <si>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</si>
  <si>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</si>
  <si>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</si>
  <si>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</si>
  <si>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</si>
  <si>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</si>
  <si>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</si>
  <si>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</si>
  <si>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</si>
  <si>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</si>
  <si>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</si>
  <si>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</si>
  <si>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</si>
  <si>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</si>
  <si>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</si>
  <si>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</si>
  <si>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</si>
  <si>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</si>
  <si>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</si>
  <si>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</si>
  <si>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</si>
  <si>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</si>
  <si>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</si>
  <si>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</si>
  <si>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</si>
  <si>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</si>
  <si>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</si>
  <si>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</si>
  <si>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</si>
  <si>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</si>
  <si>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</si>
  <si>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</si>
  <si>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</si>
  <si>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</si>
  <si>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</si>
  <si>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</si>
  <si>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</si>
  <si>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</si>
  <si>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</si>
  <si>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</si>
  <si>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</si>
  <si>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</si>
  <si>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</si>
  <si>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</si>
  <si>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</si>
  <si>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</si>
  <si>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</si>
  <si>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</si>
  <si>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</si>
  <si>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</si>
  <si>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</si>
  <si>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</si>
  <si>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</si>
  <si>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</si>
  <si>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</si>
  <si>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</si>
  <si>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</si>
  <si>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</si>
  <si>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</si>
  <si>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</si>
  <si>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</si>
  <si>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</si>
  <si>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</si>
  <si>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</si>
  <si>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</si>
  <si>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</si>
  <si>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</si>
  <si>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</si>
  <si>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</si>
  <si>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</si>
  <si>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</si>
  <si>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</si>
  <si>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</si>
  <si>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</si>
  <si>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</si>
  <si>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</si>
  <si>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</si>
  <si>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</si>
  <si>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</si>
  <si>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</si>
  <si>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</si>
  <si>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</si>
  <si>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</si>
  <si>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</si>
  <si>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</si>
  <si>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</si>
  <si>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</si>
  <si>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</si>
  <si>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</si>
  <si>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</si>
  <si>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</si>
  <si>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</si>
  <si>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</si>
  <si>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</si>
  <si>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</si>
  <si>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</si>
  <si>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</si>
  <si>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</si>
  <si>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</si>
  <si>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</si>
  <si>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</si>
  <si>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</si>
  <si>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</si>
  <si>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</si>
  <si>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</si>
  <si>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</si>
  <si>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</si>
  <si>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</si>
  <si>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</si>
  <si>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</si>
  <si>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</si>
  <si>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</si>
  <si>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</si>
  <si>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</si>
  <si>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</si>
  <si>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</si>
  <si>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</si>
  <si>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</si>
  <si>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</si>
  <si>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</si>
  <si>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</si>
  <si>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</si>
  <si>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</si>
  <si>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</si>
  <si>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</si>
  <si>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</si>
  <si>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</si>
  <si>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</si>
  <si>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</si>
  <si>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</si>
  <si>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</si>
  <si>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</si>
  <si>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</si>
  <si>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</si>
  <si>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</si>
  <si>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</si>
  <si>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</si>
  <si>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</si>
  <si>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</si>
  <si>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</si>
  <si>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</si>
  <si>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</si>
  <si>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</si>
  <si>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</si>
  <si>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</si>
  <si>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</si>
  <si>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</si>
  <si>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</si>
  <si>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</si>
  <si>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</si>
  <si>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</si>
  <si>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</si>
  <si>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</si>
  <si>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</si>
  <si>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</si>
  <si>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</si>
  <si>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</si>
  <si>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</si>
  <si>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</si>
  <si>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</si>
  <si>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</si>
  <si>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</si>
  <si>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</si>
  <si>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</si>
  <si>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</si>
  <si>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</si>
  <si>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</si>
  <si>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</si>
  <si>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</si>
  <si>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</si>
  <si>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</si>
  <si>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</si>
  <si>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</si>
  <si>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</si>
  <si>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</si>
  <si>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</si>
  <si>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</si>
  <si>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</si>
  <si>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</si>
  <si>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</si>
  <si>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</si>
  <si>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</si>
  <si>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</si>
  <si>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</si>
  <si>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</si>
  <si>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</si>
  <si>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</si>
  <si>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</si>
  <si>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</si>
  <si>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</si>
  <si>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</si>
  <si>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</si>
  <si>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</si>
  <si>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</si>
  <si>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</si>
  <si>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</si>
  <si>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</si>
  <si>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</si>
  <si>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</si>
  <si>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</si>
  <si>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</si>
  <si>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</si>
  <si>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</si>
  <si>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</si>
  <si>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</si>
  <si>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</si>
  <si>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</si>
  <si>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</si>
  <si>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</si>
  <si>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</si>
  <si>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</si>
  <si>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</si>
  <si>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</si>
  <si>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</si>
  <si>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</si>
  <si>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</si>
  <si>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</si>
  <si>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</si>
  <si>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</si>
  <si>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</si>
  <si>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</si>
  <si>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</si>
  <si>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</si>
  <si>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</si>
  <si>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</si>
  <si>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</si>
  <si>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</si>
  <si>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</si>
  <si>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</si>
  <si>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</si>
  <si>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</si>
  <si>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</si>
  <si>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</si>
  <si>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</si>
  <si>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</si>
  <si>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</si>
  <si>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</si>
  <si>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</si>
  <si>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</si>
  <si>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</si>
  <si>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</si>
  <si>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</si>
  <si>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</si>
  <si>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</si>
  <si>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</si>
  <si>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</si>
  <si>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</si>
  <si>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</si>
  <si>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</si>
  <si>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</si>
  <si>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</si>
  <si>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</si>
  <si>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</si>
  <si>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</si>
  <si>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</si>
  <si>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</si>
  <si>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</si>
  <si>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</si>
  <si>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</si>
  <si>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</si>
  <si>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</si>
  <si>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</si>
  <si>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</si>
  <si>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</si>
  <si>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</si>
  <si>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</si>
  <si>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</si>
  <si>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</si>
  <si>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</si>
  <si>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</si>
  <si>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</si>
  <si>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</si>
  <si>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</si>
  <si>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</si>
  <si>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</si>
  <si>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</si>
  <si>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</si>
  <si>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</si>
  <si>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</si>
  <si>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</si>
  <si>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</si>
  <si>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</si>
  <si>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</si>
  <si>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</si>
  <si>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</si>
  <si>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</si>
  <si>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</si>
  <si>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</si>
  <si>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</si>
  <si>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</si>
  <si>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</si>
  <si>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</si>
  <si>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</si>
  <si>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</si>
  <si>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</si>
  <si>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</si>
  <si>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</si>
  <si>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</si>
  <si>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</si>
  <si>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</si>
  <si>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</si>
  <si>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</si>
  <si>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</si>
  <si>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</si>
  <si>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</si>
  <si>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</si>
  <si>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</si>
  <si>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</si>
  <si>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</si>
  <si>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</si>
  <si>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</si>
  <si>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</si>
  <si>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</si>
  <si>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</si>
  <si>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</si>
  <si>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</si>
  <si>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</si>
  <si>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</si>
  <si>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</si>
  <si>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</si>
  <si>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</si>
  <si>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</si>
  <si>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</si>
  <si>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</si>
  <si>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</si>
  <si>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</si>
  <si>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</si>
  <si>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</si>
  <si>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</si>
  <si>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</si>
  <si>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</si>
  <si>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</si>
  <si>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</si>
  <si>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</si>
  <si>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</si>
  <si>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</si>
  <si>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</si>
  <si>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</si>
  <si>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</si>
  <si>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</si>
  <si>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</si>
  <si>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</si>
  <si>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</si>
  <si>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</si>
  <si>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</si>
  <si>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</si>
  <si>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</si>
  <si>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</si>
  <si>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</si>
  <si>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</si>
  <si>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</si>
  <si>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</si>
  <si>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</si>
  <si>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</si>
  <si>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</si>
  <si>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</si>
  <si>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</si>
  <si>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</si>
  <si>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</si>
  <si>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</si>
  <si>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</si>
  <si>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</si>
  <si>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</si>
  <si>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</si>
  <si>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</si>
  <si>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</si>
  <si>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</si>
  <si>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</si>
  <si>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</si>
  <si>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</si>
  <si>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</si>
  <si>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</si>
  <si>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</si>
  <si>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</si>
  <si>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</si>
  <si>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</si>
  <si>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</si>
  <si>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</si>
  <si>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</si>
  <si>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</si>
  <si>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</si>
  <si>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</si>
  <si>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</si>
  <si>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</si>
  <si>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</si>
  <si>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</si>
  <si>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</si>
  <si>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</si>
  <si>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</si>
  <si>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</si>
  <si>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</si>
  <si>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</si>
  <si>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</si>
  <si>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</si>
  <si>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</si>
  <si>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</si>
  <si>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</si>
  <si>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</si>
  <si>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</si>
  <si>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</si>
  <si>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</si>
  <si>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</si>
  <si>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</si>
  <si>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</si>
  <si>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</si>
  <si>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</si>
  <si>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</si>
  <si>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</si>
  <si>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</si>
  <si>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</si>
  <si>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</si>
  <si>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</si>
  <si>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</si>
  <si>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</si>
  <si>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</si>
  <si>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</si>
  <si>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</si>
  <si>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</si>
  <si>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</si>
  <si>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</si>
  <si>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</si>
  <si>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</si>
  <si>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</si>
  <si>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</si>
  <si>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</si>
  <si>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</si>
  <si>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</si>
  <si>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</si>
  <si>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</si>
  <si>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</si>
  <si>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</si>
  <si>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</si>
  <si>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</si>
  <si>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</si>
  <si>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</si>
  <si>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</si>
  <si>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</si>
  <si>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</si>
  <si>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</si>
  <si>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</si>
  <si>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</si>
  <si>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</si>
  <si>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</si>
  <si>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</si>
  <si>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</si>
  <si>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</si>
  <si>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</si>
  <si>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</si>
  <si>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</si>
  <si>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</si>
  <si>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</si>
  <si>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</si>
  <si>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</si>
  <si>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</si>
  <si>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</si>
  <si>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</si>
  <si>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</si>
  <si>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</si>
  <si>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</si>
  <si>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</si>
  <si>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</si>
  <si>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</si>
  <si>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</si>
  <si>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</si>
  <si>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</si>
  <si>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</si>
  <si>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</si>
  <si>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</si>
  <si>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</si>
  <si>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</si>
  <si>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</si>
  <si>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</si>
  <si>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</si>
  <si>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</si>
  <si>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</si>
  <si>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</si>
  <si>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</si>
  <si>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</si>
  <si>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</si>
  <si>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</si>
  <si>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</si>
  <si>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</si>
  <si>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</si>
  <si>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</si>
  <si>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</si>
  <si>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</si>
  <si>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</si>
  <si>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</si>
  <si>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</si>
  <si>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</si>
  <si>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</si>
  <si>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</si>
  <si>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</si>
  <si>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</si>
  <si>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</si>
  <si>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</si>
  <si>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</si>
  <si>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</si>
  <si>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</si>
  <si>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</si>
  <si>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</si>
  <si>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</si>
  <si>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</si>
  <si>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</si>
  <si>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</si>
  <si>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</si>
  <si>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</si>
  <si>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</si>
  <si>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</si>
  <si>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</si>
  <si>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</si>
  <si>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</si>
  <si>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</si>
  <si>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</si>
  <si>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</si>
  <si>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</si>
  <si>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</si>
  <si>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</si>
  <si>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</si>
  <si>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</si>
  <si>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</si>
  <si>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</si>
  <si>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</si>
  <si>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</si>
  <si>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</si>
  <si>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</si>
  <si>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</si>
  <si>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</si>
  <si>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</si>
  <si>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</si>
  <si>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</si>
  <si>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</si>
  <si>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</si>
  <si>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</si>
  <si>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</si>
  <si>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</si>
  <si>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</si>
  <si>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</si>
  <si>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</si>
  <si>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</si>
  <si>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</si>
  <si>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</si>
  <si>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</si>
  <si>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</si>
  <si>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</si>
  <si>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</si>
  <si>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</si>
  <si>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</si>
  <si>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</si>
  <si>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</si>
  <si>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</si>
  <si>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</si>
  <si>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</si>
  <si>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</si>
  <si>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</si>
  <si>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</si>
  <si>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</si>
  <si>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</si>
  <si>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</si>
  <si>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</si>
  <si>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</si>
  <si>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</si>
  <si>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</si>
  <si>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</si>
  <si>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</si>
  <si>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</si>
  <si>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</si>
  <si>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</si>
  <si>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</si>
  <si>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</si>
  <si>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</si>
  <si>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</si>
  <si>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</si>
  <si>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</si>
  <si>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</si>
  <si>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</si>
  <si>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</si>
  <si>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</si>
  <si>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</si>
  <si>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</si>
  <si>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</si>
  <si>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</si>
  <si>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</si>
  <si>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</si>
  <si>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</si>
  <si>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</si>
  <si>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</si>
  <si>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</si>
  <si>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</si>
  <si>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</si>
  <si>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</si>
  <si>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</si>
  <si>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</si>
  <si>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</si>
  <si>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</si>
  <si>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</si>
  <si>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</si>
  <si>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</si>
  <si>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</si>
  <si>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</si>
  <si>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</si>
  <si>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</si>
  <si>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</si>
  <si>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</si>
  <si>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</si>
  <si>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</si>
  <si>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</si>
  <si>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</si>
  <si>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</si>
  <si>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</si>
  <si>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</si>
  <si>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</si>
  <si>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</si>
  <si>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</si>
  <si>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</si>
  <si>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</si>
  <si>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</si>
  <si>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</si>
  <si>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</si>
  <si>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</si>
  <si>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</si>
  <si>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</si>
  <si>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</si>
  <si>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</si>
  <si>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</si>
  <si>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</si>
  <si>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</si>
  <si>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</si>
  <si>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</si>
  <si>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</si>
  <si>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</si>
  <si>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</si>
  <si>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</si>
  <si>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</si>
  <si>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</si>
  <si>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</si>
  <si>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</si>
  <si>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</si>
  <si>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</si>
  <si>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</si>
  <si>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</si>
  <si>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</si>
  <si>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</si>
  <si>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</si>
  <si>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</si>
  <si>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</si>
  <si>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</si>
  <si>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</si>
  <si>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</si>
  <si>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</si>
  <si>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</si>
  <si>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</si>
  <si>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</si>
  <si>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</si>
  <si>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</si>
  <si>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</si>
  <si>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</si>
  <si>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</si>
  <si>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</si>
  <si>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</si>
  <si>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</si>
  <si>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</si>
  <si>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</si>
  <si>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</si>
  <si>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</si>
  <si>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</si>
  <si>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</si>
  <si>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</si>
  <si>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</si>
  <si>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</si>
  <si>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</si>
  <si>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</si>
  <si>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</si>
  <si>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</si>
  <si>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</si>
  <si>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</si>
  <si>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</si>
  <si>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</si>
  <si>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</si>
  <si>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</si>
  <si>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</si>
  <si>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</si>
  <si>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</si>
  <si>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</si>
  <si>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</si>
  <si>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</si>
  <si>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</si>
  <si>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</si>
  <si>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</si>
  <si>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</si>
  <si>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</si>
  <si>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</si>
  <si>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</si>
  <si>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</si>
  <si>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</si>
  <si>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</si>
  <si>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</si>
  <si>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</si>
  <si>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</si>
  <si>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</si>
  <si>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</si>
  <si>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</si>
  <si>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</si>
  <si>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</si>
  <si>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</si>
  <si>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</si>
  <si>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</si>
  <si>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</si>
  <si>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</si>
  <si>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</si>
  <si>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</si>
  <si>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</si>
  <si>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</si>
  <si>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</si>
  <si>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</si>
  <si>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</si>
  <si>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</si>
  <si>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</si>
  <si>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</si>
  <si>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</si>
  <si>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</si>
  <si>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</si>
  <si>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</si>
  <si>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</si>
  <si>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</si>
  <si>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</si>
  <si>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</si>
  <si>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</si>
  <si>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</si>
  <si>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</si>
  <si>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</si>
  <si>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</si>
  <si>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</si>
  <si>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</si>
  <si>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</si>
  <si>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</si>
  <si>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</si>
  <si>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</si>
  <si>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</si>
  <si>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</si>
  <si>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</si>
  <si>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</si>
  <si>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</si>
  <si>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</si>
  <si>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</si>
  <si>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</si>
  <si>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</si>
  <si>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</si>
  <si>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</si>
  <si>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</si>
  <si>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</si>
  <si>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</si>
  <si>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</si>
  <si>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</si>
  <si>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</si>
  <si>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</si>
  <si>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</si>
  <si>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</si>
  <si>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</si>
  <si>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</si>
  <si>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</si>
  <si>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</si>
  <si>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</si>
  <si>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</si>
  <si>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</si>
  <si>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</si>
  <si>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</si>
  <si>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</si>
  <si>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</si>
  <si>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</si>
  <si>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</si>
  <si>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</si>
  <si>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</si>
  <si>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</si>
  <si>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</si>
  <si>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</si>
  <si>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</si>
  <si>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</si>
  <si>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</si>
  <si>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</si>
  <si>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</si>
  <si>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</si>
  <si>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</si>
  <si>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</si>
  <si>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</si>
  <si>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</si>
  <si>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</si>
  <si>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</si>
  <si>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</si>
  <si>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</si>
  <si>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</si>
  <si>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</si>
  <si>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</si>
  <si>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</si>
  <si>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</si>
  <si>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</si>
  <si>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</si>
  <si>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</si>
  <si>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</si>
  <si>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</si>
  <si>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</si>
  <si>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</si>
  <si>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</si>
  <si>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</si>
  <si>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</si>
  <si>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</si>
  <si>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</si>
  <si>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</si>
  <si>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</si>
  <si>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</si>
  <si>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</si>
  <si>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</si>
  <si>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</si>
  <si>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</si>
  <si>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</si>
  <si>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</si>
  <si>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</si>
  <si>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</si>
  <si>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</si>
  <si>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</si>
  <si>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</si>
  <si>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</si>
  <si>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</si>
  <si>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</si>
  <si>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</si>
  <si>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</si>
  <si>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</si>
  <si>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</si>
  <si>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</si>
  <si>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</si>
  <si>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</si>
  <si>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</si>
  <si>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</si>
  <si>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</si>
  <si>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</si>
  <si>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</si>
  <si>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</si>
  <si>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</si>
  <si>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</si>
  <si>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</si>
  <si>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</si>
  <si>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</si>
  <si>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</si>
  <si>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</si>
  <si>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</si>
  <si>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</si>
  <si>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</si>
  <si>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</si>
  <si>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</si>
  <si>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</si>
  <si>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</si>
  <si>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</si>
  <si>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</si>
  <si>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</si>
  <si>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</si>
  <si>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</si>
  <si>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</si>
  <si>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</si>
  <si>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</si>
  <si>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</si>
  <si>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</si>
  <si>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</si>
  <si>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</si>
  <si>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</si>
  <si>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</si>
  <si>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</si>
  <si>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</si>
  <si>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</si>
  <si>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</si>
  <si>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</si>
  <si>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</si>
  <si>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</si>
  <si>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</si>
  <si>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</si>
  <si>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</si>
  <si>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</si>
  <si>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</si>
  <si>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</si>
  <si>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</si>
  <si>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</si>
  <si>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</si>
  <si>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</si>
  <si>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</si>
  <si>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</si>
  <si>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</si>
  <si>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</si>
  <si>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</si>
  <si>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</si>
  <si>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</si>
  <si>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</si>
  <si>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</si>
  <si>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</si>
  <si>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</si>
  <si>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</si>
  <si>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</si>
  <si>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</si>
  <si>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</si>
  <si>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</si>
  <si>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</si>
  <si>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</si>
  <si>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</si>
  <si>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</si>
  <si>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</si>
  <si>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</si>
  <si>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</si>
  <si>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</si>
  <si>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</si>
  <si>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</si>
  <si>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</si>
  <si>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</si>
  <si>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</si>
  <si>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</si>
  <si>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</si>
  <si>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</si>
  <si>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</si>
  <si>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</si>
  <si>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</si>
  <si>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</si>
  <si>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</si>
  <si>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</si>
  <si>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</si>
  <si>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</si>
  <si>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</si>
  <si>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</si>
  <si>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</si>
  <si>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</si>
  <si>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</si>
  <si>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</si>
  <si>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</si>
  <si>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</si>
  <si>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</si>
  <si>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</si>
  <si>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</si>
  <si>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</si>
  <si>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</si>
  <si>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</si>
  <si>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</si>
  <si>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</si>
  <si>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</si>
  <si>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</si>
  <si>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</si>
  <si>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</si>
  <si>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</si>
  <si>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</si>
  <si>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</si>
  <si>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</si>
  <si>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</si>
  <si>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</si>
  <si>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</si>
  <si>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</si>
  <si>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</si>
  <si>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</si>
  <si>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</si>
  <si>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</si>
  <si>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</si>
  <si>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</si>
  <si>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</si>
  <si>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</si>
  <si>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</si>
  <si>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</si>
  <si>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</si>
  <si>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</si>
  <si>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</si>
  <si>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</si>
  <si>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</si>
  <si>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</si>
  <si>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</si>
  <si>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</si>
  <si>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</si>
  <si>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</si>
  <si>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</si>
  <si>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</si>
  <si>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</si>
  <si>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</si>
  <si>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</si>
  <si>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</si>
  <si>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</si>
  <si>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</si>
  <si>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</si>
  <si>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</si>
  <si>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</si>
  <si>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</si>
  <si>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</si>
  <si>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</si>
  <si>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</si>
  <si>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</si>
  <si>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</si>
  <si>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</si>
  <si>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</si>
  <si>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</si>
  <si>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</si>
  <si>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</si>
  <si>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</si>
  <si>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</si>
  <si>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</si>
  <si>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</si>
  <si>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</si>
  <si>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</si>
  <si>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</si>
  <si>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</si>
  <si>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</si>
  <si>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</si>
  <si>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</si>
  <si>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</si>
  <si>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</si>
  <si>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</si>
  <si>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</si>
  <si>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</si>
  <si>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</si>
  <si>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</si>
  <si>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</si>
  <si>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</si>
  <si>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</si>
  <si>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</si>
  <si>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</si>
  <si>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</si>
  <si>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</si>
  <si>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</si>
  <si>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</si>
  <si>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</si>
  <si>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</si>
  <si>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</si>
  <si>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</si>
  <si>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</si>
  <si>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</si>
  <si>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</si>
  <si>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</si>
  <si>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</si>
  <si>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</si>
  <si>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</si>
  <si>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</si>
  <si>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</si>
  <si>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</si>
  <si>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</si>
  <si>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</si>
  <si>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</si>
  <si>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</si>
  <si>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</si>
  <si>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</si>
  <si>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</si>
  <si>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</si>
  <si>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</si>
  <si>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</si>
  <si>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</si>
  <si>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</si>
  <si>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</si>
  <si>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</si>
  <si>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</si>
  <si>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</si>
  <si>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</si>
  <si>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</si>
  <si>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</si>
  <si>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</si>
  <si>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</si>
  <si>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</si>
  <si>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</si>
  <si>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</si>
  <si>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</si>
  <si>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</si>
  <si>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</si>
  <si>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</si>
  <si>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</si>
  <si>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</si>
  <si>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</si>
  <si>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</si>
  <si>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</si>
  <si>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</si>
  <si>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</si>
  <si>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</si>
  <si>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</si>
  <si>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</si>
  <si>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</si>
  <si>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</si>
  <si>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</si>
  <si>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</si>
  <si>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</si>
  <si>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</si>
  <si>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</si>
  <si>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</si>
  <si>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</si>
  <si>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</si>
  <si>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</si>
  <si>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</si>
  <si>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</si>
  <si>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</si>
  <si>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</si>
  <si>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</si>
  <si>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</si>
  <si>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</si>
  <si>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</si>
  <si>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</si>
  <si>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</si>
  <si>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</si>
  <si>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</si>
  <si>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</si>
  <si>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</si>
  <si>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</si>
  <si>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</si>
  <si>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</si>
  <si>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</si>
  <si>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</si>
  <si>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</si>
  <si>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</si>
  <si>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</si>
  <si>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</si>
  <si>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</si>
  <si>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</si>
  <si>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</si>
  <si>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</si>
  <si>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</si>
  <si>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</si>
  <si>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</si>
  <si>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</si>
  <si>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</si>
  <si>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</si>
  <si>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</si>
  <si>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</si>
  <si>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</si>
  <si>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</si>
  <si>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</si>
  <si>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</si>
  <si>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</si>
  <si>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</si>
  <si>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</si>
  <si>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</si>
  <si>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</si>
  <si>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</si>
  <si>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</si>
  <si>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</si>
  <si>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</si>
  <si>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</si>
  <si>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</si>
  <si>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</si>
  <si>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</si>
  <si>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</si>
  <si>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</si>
  <si>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</si>
  <si>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</si>
  <si>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</si>
  <si>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</si>
  <si>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</si>
  <si>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</si>
  <si>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</si>
  <si>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</si>
  <si>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</si>
  <si>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</si>
  <si>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</si>
  <si>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</si>
  <si>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</si>
  <si>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</si>
  <si>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</si>
  <si>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</si>
  <si>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</si>
  <si>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</si>
  <si>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</si>
  <si>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</si>
  <si>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</si>
  <si>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</si>
  <si>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</si>
  <si>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</si>
  <si>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</si>
  <si>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</si>
  <si>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</si>
  <si>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</si>
  <si>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</si>
  <si>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</si>
  <si>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</si>
  <si>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</si>
  <si>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</si>
  <si>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</si>
  <si>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</si>
  <si>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</si>
  <si>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</si>
  <si>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</si>
  <si>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</si>
  <si>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</si>
  <si>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</si>
  <si>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</si>
  <si>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</si>
  <si>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</si>
  <si>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</si>
  <si>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</si>
  <si>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</si>
  <si>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</si>
  <si>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</si>
  <si>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</si>
  <si>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</si>
  <si>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</si>
  <si>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</si>
  <si>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</si>
  <si>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</si>
  <si>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</si>
  <si>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</si>
  <si>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</si>
  <si>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</si>
  <si>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</si>
  <si>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</si>
  <si>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</si>
  <si>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</si>
  <si>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</si>
  <si>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</si>
  <si>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</si>
  <si>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</si>
  <si>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</si>
  <si>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</si>
  <si>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</si>
  <si>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</si>
  <si>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</si>
  <si>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</si>
  <si>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</si>
  <si>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</si>
  <si>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</si>
  <si>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</si>
  <si>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</si>
  <si>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</si>
  <si>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</si>
  <si>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</si>
  <si>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</si>
  <si>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</si>
  <si>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</si>
  <si>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</si>
  <si>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</si>
  <si>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</si>
  <si>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</si>
  <si>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</si>
  <si>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</si>
  <si>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</si>
  <si>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</si>
  <si>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</si>
  <si>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</si>
  <si>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</si>
  <si>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</si>
  <si>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</si>
  <si>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</si>
  <si>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</si>
  <si>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</si>
  <si>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</si>
  <si>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</si>
  <si>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</si>
  <si>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</si>
  <si>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</si>
  <si>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</si>
  <si>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</si>
  <si>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</si>
  <si>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</si>
  <si>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</si>
  <si>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</si>
  <si>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</si>
  <si>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</si>
  <si>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</si>
  <si>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</si>
  <si>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</si>
  <si>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</si>
  <si>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</si>
  <si>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</si>
  <si>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</si>
  <si>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</si>
  <si>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</si>
  <si>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</si>
  <si>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</si>
  <si>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</si>
  <si>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</si>
  <si>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</si>
  <si>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</si>
  <si>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</si>
  <si>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</si>
  <si>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</si>
  <si>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</si>
  <si>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</si>
  <si>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</si>
  <si>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</si>
  <si>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</si>
  <si>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</si>
  <si>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</si>
  <si>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</si>
  <si>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</si>
  <si>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</si>
  <si>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</si>
  <si>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</si>
  <si>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</si>
  <si>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</si>
  <si>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</si>
  <si>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</si>
  <si>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</si>
  <si>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</si>
  <si>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</si>
  <si>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</si>
  <si>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</si>
  <si>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</si>
  <si>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</si>
  <si>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</si>
  <si>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</si>
  <si>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</si>
  <si>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</si>
  <si>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</si>
  <si>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</si>
  <si>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</si>
  <si>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</si>
  <si>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</si>
  <si>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</si>
  <si>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</si>
  <si>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</si>
  <si>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</si>
  <si>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</si>
  <si>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</si>
  <si>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</si>
  <si>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</si>
  <si>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</si>
  <si>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</si>
  <si>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</si>
  <si>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</si>
  <si>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</si>
  <si>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</si>
  <si>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</si>
  <si>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</si>
  <si>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</si>
  <si>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</si>
  <si>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</si>
  <si>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</si>
  <si>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</si>
  <si>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</si>
  <si>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</si>
  <si>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</si>
  <si>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</si>
  <si>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</si>
  <si>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</si>
  <si>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</si>
  <si>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</si>
  <si>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</si>
  <si>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</si>
  <si>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</si>
  <si>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</si>
  <si>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</si>
  <si>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</si>
  <si>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</si>
  <si>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</si>
  <si>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</si>
  <si>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</si>
  <si>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</si>
  <si>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</si>
  <si>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</si>
  <si>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</si>
  <si>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</si>
  <si>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</si>
  <si>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</si>
  <si>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</si>
  <si>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</si>
  <si>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</si>
  <si>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</si>
  <si>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</si>
  <si>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</si>
  <si>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</si>
  <si>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</si>
  <si>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</si>
  <si>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</si>
  <si>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</si>
  <si>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</si>
  <si>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</si>
  <si>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</si>
  <si>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</si>
  <si>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</si>
  <si>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</si>
  <si>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</si>
  <si>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</si>
  <si>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</si>
  <si>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</si>
  <si>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</si>
  <si>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</si>
  <si>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</si>
  <si>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</si>
  <si>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</si>
  <si>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</si>
  <si>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</si>
  <si>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</si>
  <si>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</si>
  <si>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</si>
  <si>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</si>
  <si>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</si>
  <si>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</si>
  <si>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</si>
  <si>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</si>
  <si>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</si>
  <si>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</si>
  <si>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</si>
  <si>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</si>
  <si>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</si>
  <si>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</si>
  <si>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</si>
  <si>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</si>
  <si>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</si>
  <si>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</si>
  <si>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</si>
  <si>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</si>
  <si>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</si>
  <si>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</si>
  <si>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</si>
  <si>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</si>
  <si>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</si>
  <si>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</si>
  <si>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</si>
  <si>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</si>
  <si>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</si>
  <si>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</si>
  <si>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</si>
  <si>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</si>
  <si>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</si>
  <si>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</si>
  <si>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</si>
  <si>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</si>
  <si>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</si>
  <si>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</si>
  <si>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</si>
  <si>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</si>
  <si>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</si>
  <si>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</si>
  <si>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</si>
  <si>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</si>
  <si>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</si>
  <si>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</si>
  <si>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</si>
  <si>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</si>
  <si>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</si>
  <si>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</si>
  <si>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</si>
  <si>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</si>
  <si>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</si>
  <si>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</si>
  <si>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</si>
  <si>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</si>
  <si>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</si>
  <si>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</si>
  <si>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</si>
  <si>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</si>
  <si>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</si>
  <si>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</si>
  <si>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</si>
  <si>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</si>
  <si>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</si>
  <si>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</si>
  <si>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</si>
  <si>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</si>
  <si>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</si>
  <si>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</si>
  <si>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</si>
  <si>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</si>
  <si>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</si>
  <si>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</si>
  <si>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</si>
  <si>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</si>
  <si>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</si>
  <si>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</si>
  <si>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</si>
  <si>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</si>
  <si>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</si>
  <si>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</si>
  <si>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</si>
  <si>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</si>
  <si>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</si>
  <si>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</si>
  <si>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</si>
  <si>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</si>
  <si>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</si>
  <si>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</si>
  <si>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</si>
  <si>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</si>
  <si>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</si>
  <si>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</si>
  <si>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</si>
  <si>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</si>
  <si>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</si>
  <si>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</si>
  <si>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</si>
  <si>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</si>
  <si>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</si>
  <si>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</si>
  <si>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</si>
  <si>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</si>
  <si>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</si>
  <si>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</si>
  <si>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</si>
  <si>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</si>
  <si>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</si>
  <si>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</si>
  <si>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</si>
  <si>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</si>
  <si>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</si>
  <si>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</si>
  <si>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</si>
  <si>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</si>
  <si>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</si>
  <si>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</si>
  <si>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</si>
  <si>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</si>
  <si>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</si>
  <si>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</si>
  <si>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</si>
  <si>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</si>
  <si>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</si>
  <si>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</si>
  <si>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</si>
  <si>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</si>
  <si>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</si>
  <si>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</si>
  <si>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</si>
  <si>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</si>
  <si>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</si>
  <si>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</si>
  <si>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</si>
  <si>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</si>
  <si>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</si>
  <si>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</si>
  <si>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</si>
  <si>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</si>
  <si>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</si>
  <si>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</si>
  <si>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</si>
  <si>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</si>
  <si>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</si>
  <si>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</si>
  <si>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</si>
  <si>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</si>
  <si>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</si>
  <si>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</si>
  <si>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</si>
  <si>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</si>
  <si>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</si>
  <si>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</si>
  <si>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</si>
  <si>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</si>
  <si>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</si>
  <si>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</si>
  <si>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</si>
  <si>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</si>
  <si>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</si>
  <si>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</si>
  <si>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</si>
  <si>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</si>
  <si>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</si>
  <si>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</si>
  <si>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</si>
  <si>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</si>
  <si>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</si>
  <si>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</si>
  <si>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</si>
  <si>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</si>
  <si>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</si>
  <si>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</si>
  <si>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</si>
  <si>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</si>
  <si>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</si>
  <si>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</si>
  <si>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</si>
  <si>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</si>
  <si>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</si>
  <si>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</si>
  <si>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</si>
  <si>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</si>
  <si>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</si>
  <si>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</si>
  <si>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</si>
  <si>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</si>
  <si>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</si>
  <si>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</si>
  <si>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</si>
  <si>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</si>
  <si>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</si>
  <si>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</si>
  <si>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</si>
  <si>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</si>
  <si>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</si>
  <si>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</si>
  <si>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</si>
  <si>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</si>
  <si>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</si>
  <si>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</si>
  <si>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</si>
  <si>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</si>
  <si>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</si>
  <si>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</si>
  <si>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</si>
  <si>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</si>
  <si>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</si>
  <si>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</si>
  <si>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</si>
  <si>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</si>
  <si>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</si>
  <si>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</si>
  <si>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</si>
  <si>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</si>
  <si>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</si>
  <si>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</si>
  <si>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</si>
  <si>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</si>
  <si>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</si>
  <si>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</si>
  <si>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</si>
  <si>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</si>
  <si>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</si>
  <si>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</si>
  <si>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</si>
  <si>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</si>
  <si>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</si>
  <si>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</si>
  <si>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</si>
  <si>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</si>
  <si>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</si>
  <si>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</si>
  <si>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</si>
  <si>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</si>
  <si>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</si>
  <si>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</si>
  <si>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</si>
  <si>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</si>
  <si>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</si>
  <si>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</si>
  <si>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</si>
  <si>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</si>
  <si>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</si>
  <si>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</si>
  <si>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</si>
  <si>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</si>
  <si>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</si>
  <si>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</si>
  <si>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</si>
  <si>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</si>
  <si>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</si>
  <si>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</si>
  <si>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</si>
  <si>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</si>
  <si>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</si>
  <si>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</si>
  <si>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</si>
  <si>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</si>
  <si>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</si>
  <si>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</si>
  <si>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</si>
  <si>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</si>
  <si>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</si>
  <si>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</si>
  <si>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</si>
  <si>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</si>
  <si>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</si>
  <si>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</si>
  <si>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</si>
  <si>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</si>
  <si>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</si>
  <si>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</si>
  <si>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</si>
  <si>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</si>
  <si>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</si>
  <si>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</si>
  <si>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</si>
  <si>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</si>
  <si>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</si>
  <si>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</si>
  <si>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</si>
  <si>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</si>
  <si>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</si>
  <si>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</si>
  <si>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</si>
  <si>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</si>
  <si>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</si>
  <si>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</si>
  <si>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</si>
  <si>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</si>
  <si>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</si>
  <si>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</si>
  <si>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</si>
  <si>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</si>
  <si>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</si>
  <si>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</si>
  <si>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</si>
  <si>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</si>
  <si>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</si>
  <si>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</si>
  <si>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</si>
  <si>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</si>
  <si>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</si>
  <si>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</si>
  <si>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</si>
  <si>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</si>
  <si>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</si>
  <si>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</si>
  <si>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</si>
  <si>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</si>
  <si>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</si>
  <si>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</si>
  <si>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</si>
  <si>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</si>
  <si>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</si>
  <si>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</si>
  <si>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</si>
  <si>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</si>
  <si>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</si>
  <si>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</si>
  <si>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</si>
  <si>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</si>
  <si>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</si>
  <si>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</si>
  <si>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</si>
  <si>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</si>
  <si>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</si>
  <si>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</si>
  <si>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</si>
  <si>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</si>
  <si>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</si>
  <si>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</si>
  <si>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</si>
  <si>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</si>
  <si>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</si>
  <si>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</si>
  <si>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</si>
  <si>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</si>
  <si>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</si>
  <si>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</si>
  <si>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</si>
  <si>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</si>
  <si>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</si>
  <si>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</si>
  <si>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</si>
  <si>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</si>
  <si>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</si>
  <si>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</si>
  <si>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</si>
  <si>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</si>
  <si>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</si>
  <si>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</si>
  <si>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</si>
  <si>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</si>
  <si>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</si>
  <si>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</si>
  <si>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</si>
  <si>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</si>
  <si>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</si>
  <si>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</si>
  <si>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</si>
  <si>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</si>
  <si>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</si>
  <si>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</si>
  <si>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</si>
  <si>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</si>
  <si>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</si>
  <si>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</si>
  <si>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</si>
  <si>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</si>
  <si>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</si>
  <si>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</si>
  <si>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</si>
  <si>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</si>
  <si>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</si>
  <si>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</si>
  <si>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</si>
  <si>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</si>
  <si>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</si>
  <si>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</si>
  <si>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</si>
  <si>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</si>
  <si>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</si>
  <si>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</si>
  <si>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</si>
  <si>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</si>
  <si>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</si>
  <si>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</si>
  <si>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</si>
  <si>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</si>
  <si>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</si>
  <si>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</si>
  <si>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</si>
  <si>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</si>
  <si>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</si>
  <si>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</si>
  <si>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</si>
  <si>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</si>
  <si>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</si>
  <si>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</si>
  <si>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</si>
  <si>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</si>
  <si>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</si>
  <si>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</si>
  <si>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</si>
  <si>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</si>
  <si>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</si>
  <si>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</si>
  <si>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</si>
  <si>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</si>
  <si>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</si>
  <si>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</si>
  <si>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</si>
  <si>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</si>
  <si>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</si>
  <si>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</si>
  <si>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</si>
  <si>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</si>
  <si>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</si>
  <si>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</si>
  <si>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</si>
  <si>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</si>
  <si>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</si>
  <si>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</si>
  <si>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</si>
  <si>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</si>
  <si>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</si>
  <si>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</si>
  <si>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</si>
  <si>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</si>
  <si>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</si>
  <si>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</si>
  <si>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</si>
  <si>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</si>
  <si>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</si>
  <si>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</si>
  <si>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</si>
  <si>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</si>
  <si>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</si>
  <si>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</si>
  <si>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</si>
  <si>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</si>
  <si>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</si>
  <si>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</si>
  <si>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</si>
  <si>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</si>
  <si>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</si>
  <si>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</si>
  <si>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</si>
  <si>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</si>
  <si>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</si>
  <si>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</si>
  <si>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</si>
  <si>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</si>
  <si>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</si>
  <si>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</si>
  <si>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</si>
  <si>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</si>
  <si>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</si>
  <si>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</si>
  <si>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</si>
  <si>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</si>
  <si>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</si>
  <si>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</si>
  <si>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</si>
  <si>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</si>
  <si>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</si>
  <si>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</si>
  <si>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</si>
  <si>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</si>
  <si>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</si>
  <si>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</si>
  <si>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</si>
  <si>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</si>
  <si>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</si>
  <si>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</si>
  <si>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</si>
  <si>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</si>
  <si>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</si>
  <si>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</si>
  <si>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</si>
  <si>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</si>
  <si>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</si>
  <si>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</si>
  <si>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</si>
  <si>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</si>
  <si>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</si>
  <si>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</si>
  <si>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</si>
  <si>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</si>
  <si>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</si>
  <si>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</si>
  <si>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</si>
  <si>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</si>
  <si>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</si>
  <si>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</si>
  <si>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</si>
  <si>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</si>
  <si>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</si>
  <si>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</si>
  <si>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</si>
  <si>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</si>
  <si>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</si>
  <si>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</si>
  <si>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</si>
  <si>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</si>
  <si>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</si>
  <si>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</si>
  <si>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</si>
  <si>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</si>
  <si>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</si>
  <si>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</si>
  <si>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</si>
  <si>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</si>
  <si>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</si>
  <si>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</si>
  <si>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</si>
  <si>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</si>
  <si>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</si>
  <si>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</si>
  <si>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</si>
  <si>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</si>
  <si>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</si>
  <si>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</si>
  <si>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</si>
  <si>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</si>
  <si>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</si>
  <si>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</si>
  <si>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</si>
  <si>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</si>
  <si>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</si>
  <si>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</si>
  <si>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</si>
  <si>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</si>
  <si>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</si>
  <si>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</si>
  <si>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</si>
  <si>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</si>
  <si>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</si>
  <si>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</si>
  <si>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</si>
  <si>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</si>
  <si>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</si>
  <si>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</si>
  <si>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</si>
  <si>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</si>
  <si>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</si>
  <si>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</si>
  <si>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</si>
  <si>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</si>
  <si>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</si>
  <si>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</si>
  <si>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</si>
  <si>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</si>
  <si>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</si>
  <si>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</si>
  <si>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</si>
  <si>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</si>
  <si>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</si>
  <si>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</si>
  <si>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</si>
  <si>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</si>
  <si>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</si>
  <si>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</si>
  <si>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</si>
  <si>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</si>
  <si>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</si>
  <si>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</si>
  <si>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</si>
  <si>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</si>
  <si>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</si>
  <si>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</si>
  <si>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</si>
  <si>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</si>
  <si>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</si>
  <si>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</si>
  <si>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</si>
  <si>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</si>
  <si>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</si>
  <si>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</si>
  <si>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</si>
  <si>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</si>
  <si>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</si>
  <si>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</si>
  <si>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</si>
  <si>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</si>
  <si>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</si>
  <si>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</si>
  <si>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</si>
  <si>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</si>
  <si>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</si>
  <si>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</si>
  <si>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</si>
  <si>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</si>
  <si>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</si>
  <si>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</si>
  <si>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</si>
  <si>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</si>
  <si>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</si>
  <si>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</si>
  <si>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</si>
  <si>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</si>
  <si>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</si>
  <si>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</si>
  <si>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</si>
  <si>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</si>
  <si>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</si>
  <si>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</si>
  <si>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</si>
  <si>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</si>
  <si>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</si>
  <si>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</si>
  <si>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</si>
  <si>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</si>
  <si>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</si>
  <si>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</si>
  <si>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</si>
  <si>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</si>
  <si>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</si>
  <si>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</si>
  <si>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</si>
  <si>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</si>
  <si>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</si>
  <si>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</si>
  <si>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</si>
  <si>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</si>
  <si>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</si>
  <si>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</si>
  <si>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</si>
  <si>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</si>
  <si>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</si>
  <si>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</si>
  <si>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</si>
  <si>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</si>
  <si>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</si>
  <si>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</si>
  <si>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</si>
  <si>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</si>
  <si>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</si>
  <si>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</si>
  <si>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</si>
  <si>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</si>
  <si>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</si>
  <si>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</si>
  <si>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</si>
  <si>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</si>
  <si>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</si>
  <si>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</si>
  <si>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</si>
  <si>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</si>
  <si>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</si>
  <si>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</si>
  <si>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</si>
  <si>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</si>
  <si>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</si>
  <si>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</si>
  <si>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</si>
  <si>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</si>
  <si>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</si>
  <si>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</si>
  <si>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</si>
  <si>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</si>
  <si>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</si>
  <si>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</si>
  <si>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</si>
  <si>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</si>
  <si>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</si>
  <si>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</si>
  <si>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</si>
  <si>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</si>
  <si>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</si>
  <si>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</si>
  <si>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</si>
  <si>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</si>
  <si>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</si>
  <si>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</si>
  <si>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</si>
  <si>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</si>
  <si>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</si>
  <si>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</si>
  <si>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</si>
  <si>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</si>
  <si>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</si>
  <si>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</si>
  <si>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</si>
  <si>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</si>
  <si>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</si>
  <si>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</si>
  <si>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</si>
  <si>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</si>
  <si>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</si>
  <si>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</si>
  <si>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</si>
  <si>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</si>
  <si>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</si>
  <si>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</si>
  <si>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</si>
  <si>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</si>
  <si>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</si>
  <si>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</si>
  <si>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</si>
  <si>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</si>
  <si>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</si>
  <si>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</si>
  <si>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</si>
  <si>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</si>
  <si>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</si>
  <si>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</si>
  <si>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</si>
  <si>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</si>
  <si>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</si>
  <si>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</si>
  <si>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</si>
  <si>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</si>
  <si>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</si>
  <si>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</si>
  <si>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</si>
  <si>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</si>
  <si>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</si>
  <si>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</si>
  <si>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</si>
  <si>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</si>
  <si>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</si>
  <si>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</si>
  <si>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</si>
  <si>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</si>
  <si>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</si>
  <si>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</si>
  <si>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</si>
  <si>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</si>
  <si>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</si>
  <si>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</si>
  <si>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</si>
  <si>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</si>
  <si>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</si>
  <si>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</si>
  <si>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</si>
  <si>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</si>
  <si>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</si>
  <si>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</si>
  <si>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</si>
  <si>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</si>
  <si>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</si>
  <si>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</si>
  <si>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</si>
  <si>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</si>
  <si>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</si>
  <si>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</si>
  <si>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</si>
  <si>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</si>
  <si>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</si>
  <si>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</si>
  <si>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</si>
  <si>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</si>
  <si>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</si>
  <si>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</si>
  <si>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</si>
  <si>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</si>
  <si>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</si>
  <si>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</si>
  <si>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</si>
  <si>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</si>
  <si>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</si>
  <si>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</si>
  <si>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</si>
  <si>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</si>
  <si>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</si>
  <si>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</si>
  <si>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</si>
  <si>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</si>
  <si>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</si>
  <si>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</si>
  <si>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</si>
  <si>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</si>
  <si>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</si>
  <si>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</si>
  <si>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</si>
  <si>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</si>
  <si>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</si>
  <si>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</si>
  <si>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</si>
  <si>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</si>
  <si>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</si>
  <si>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</si>
  <si>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</si>
  <si>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</si>
  <si>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</si>
  <si>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</si>
  <si>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</si>
  <si>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</si>
  <si>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</si>
  <si>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</si>
  <si>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</si>
  <si>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</si>
  <si>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</si>
  <si>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</si>
  <si>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</si>
  <si>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</si>
  <si>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</si>
  <si>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</si>
  <si>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</si>
  <si>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</si>
  <si>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</si>
  <si>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</si>
  <si>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</si>
  <si>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</si>
  <si>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</si>
  <si>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</si>
  <si>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</si>
  <si>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</si>
  <si>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</si>
  <si>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</si>
  <si>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</si>
  <si>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</si>
  <si>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</si>
  <si>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</si>
  <si>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</si>
  <si>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</si>
  <si>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</si>
  <si>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</si>
  <si>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</si>
  <si>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</si>
  <si>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</si>
  <si>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</si>
  <si>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</si>
  <si>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</si>
  <si>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</si>
  <si>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</si>
  <si>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</si>
  <si>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</si>
  <si>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</si>
  <si>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</si>
  <si>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</si>
  <si>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</si>
  <si>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</si>
  <si>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</si>
  <si>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</si>
  <si>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</si>
  <si>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</si>
  <si>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</si>
  <si>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</si>
  <si>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</si>
  <si>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</si>
  <si>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</si>
  <si>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</si>
  <si>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</si>
  <si>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</si>
  <si>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</si>
  <si>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</si>
  <si>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</si>
  <si>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</si>
  <si>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</si>
  <si>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</si>
  <si>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</si>
  <si>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</si>
  <si>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</si>
  <si>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</si>
  <si>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</si>
  <si>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</si>
  <si>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</si>
  <si>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</si>
  <si>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</si>
  <si>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</si>
  <si>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</si>
  <si>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</si>
  <si>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</si>
  <si>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</si>
  <si>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</si>
  <si>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</si>
  <si>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</si>
  <si>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</si>
  <si>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</si>
  <si>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</si>
  <si>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</si>
  <si>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</si>
  <si>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</si>
  <si>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</si>
  <si>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</si>
  <si>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</si>
  <si>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</si>
  <si>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</si>
  <si>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</si>
  <si>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</si>
  <si>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</si>
  <si>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</si>
  <si>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</si>
  <si>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</si>
  <si>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</si>
  <si>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</si>
  <si>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</si>
  <si>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</si>
  <si>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</si>
  <si>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</si>
  <si>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</si>
  <si>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</si>
  <si>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</si>
  <si>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</si>
  <si>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</si>
  <si>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</si>
  <si>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</si>
  <si>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</si>
  <si>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</si>
  <si>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</si>
  <si>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</si>
  <si>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</si>
  <si>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</si>
  <si>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</si>
  <si>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</si>
  <si>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</si>
  <si>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</si>
  <si>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</si>
  <si>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</si>
  <si>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</si>
  <si>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</si>
  <si>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</si>
  <si>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</si>
  <si>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</si>
  <si>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</si>
  <si>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</si>
  <si>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</si>
  <si>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</si>
  <si>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</si>
  <si>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</si>
  <si>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</si>
  <si>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</si>
  <si>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</si>
  <si>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</si>
  <si>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</si>
  <si>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</si>
  <si>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</si>
  <si>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</si>
  <si>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</si>
  <si>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</si>
  <si>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</si>
  <si>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</si>
  <si>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</si>
  <si>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</si>
  <si>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</si>
  <si>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</si>
  <si>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</si>
  <si>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</si>
  <si>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</si>
  <si>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</si>
  <si>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</si>
  <si>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</si>
  <si>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</si>
  <si>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</si>
  <si>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</si>
  <si>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</si>
  <si>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</si>
  <si>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</si>
  <si>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</si>
  <si>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</si>
  <si>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</si>
  <si>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</si>
  <si>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</si>
  <si>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</si>
  <si>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</si>
  <si>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</si>
  <si>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</si>
  <si>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</si>
  <si>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</si>
  <si>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</si>
  <si>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</si>
  <si>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</si>
  <si>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</si>
  <si>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</si>
  <si>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</si>
  <si>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</si>
  <si>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</si>
  <si>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</si>
  <si>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</si>
  <si>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</si>
  <si>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</si>
  <si>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</si>
  <si>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</si>
  <si>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</si>
  <si>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</si>
  <si>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</si>
  <si>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</si>
  <si>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</si>
  <si>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</si>
  <si>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</si>
  <si>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</si>
  <si>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</si>
  <si>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</si>
  <si>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</si>
  <si>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</si>
  <si>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</si>
  <si>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</si>
  <si>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</si>
  <si>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</si>
  <si>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</si>
  <si>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</si>
  <si>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</si>
  <si>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</si>
  <si>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</si>
  <si>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</si>
  <si>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</si>
  <si>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</si>
  <si>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</si>
  <si>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</si>
  <si>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</si>
  <si>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</si>
  <si>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</si>
  <si>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</si>
  <si>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</si>
  <si>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</si>
  <si>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</si>
  <si>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</si>
  <si>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</si>
  <si>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</si>
  <si>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</si>
  <si>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</si>
  <si>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</si>
  <si>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</si>
  <si>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</si>
  <si>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</si>
  <si>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</si>
  <si>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</si>
  <si>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</si>
  <si>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</si>
  <si>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</si>
  <si>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</si>
  <si>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</si>
  <si>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</si>
  <si>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</si>
  <si>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</si>
  <si>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</si>
  <si>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</si>
  <si>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</si>
  <si>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</si>
  <si>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</si>
  <si>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</si>
  <si>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</si>
  <si>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</si>
  <si>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</si>
  <si>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</si>
  <si>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</si>
  <si>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</si>
  <si>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</si>
  <si>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</si>
  <si>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</si>
  <si>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</si>
  <si>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</si>
  <si>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</si>
  <si>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</si>
  <si>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</si>
  <si>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</si>
  <si>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</si>
  <si>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</si>
  <si>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</si>
  <si>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</si>
  <si>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</si>
  <si>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</si>
  <si>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</si>
  <si>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</si>
  <si>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</si>
  <si>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</si>
  <si>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</si>
  <si>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</si>
  <si>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</si>
  <si>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</si>
  <si>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</si>
  <si>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</si>
  <si>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</si>
  <si>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</si>
  <si>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</si>
  <si>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</si>
  <si>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</si>
  <si>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</si>
  <si>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</si>
  <si>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</si>
  <si>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</si>
  <si>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</si>
  <si>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</si>
  <si>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</si>
  <si>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</si>
  <si>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</si>
  <si>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</si>
  <si>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</si>
  <si>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</si>
  <si>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</si>
  <si>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</si>
  <si>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</si>
  <si>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</si>
  <si>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</si>
  <si>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</si>
  <si>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</si>
  <si>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</si>
  <si>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</si>
  <si>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</si>
  <si>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</si>
  <si>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</si>
  <si>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</si>
  <si>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</si>
  <si>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</si>
  <si>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</si>
  <si>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</si>
  <si>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</si>
  <si>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</si>
  <si>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</si>
  <si>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</si>
  <si>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</si>
  <si>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</si>
  <si>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</si>
  <si>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</si>
  <si>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</si>
  <si>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</si>
  <si>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</si>
  <si>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</si>
  <si>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</si>
  <si>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</si>
  <si>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</si>
  <si>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</si>
  <si>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</si>
  <si>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</si>
  <si>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</si>
  <si>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</si>
  <si>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</si>
  <si>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</si>
  <si>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</si>
  <si>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</si>
  <si>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</si>
  <si>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</si>
  <si>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</si>
  <si>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</si>
  <si>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</si>
  <si>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</si>
  <si>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</si>
  <si>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</si>
  <si>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</si>
  <si>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</si>
  <si>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</si>
  <si>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</si>
  <si>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</si>
  <si>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</si>
  <si>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</si>
  <si>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</si>
  <si>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</si>
  <si>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</si>
  <si>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</si>
  <si>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</si>
  <si>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</si>
  <si>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</si>
  <si>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</si>
  <si>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</si>
  <si>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</si>
  <si>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</si>
  <si>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</si>
  <si>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</si>
  <si>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</si>
  <si>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</si>
  <si>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</si>
  <si>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</si>
  <si>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</si>
  <si>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</si>
  <si>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</si>
  <si>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</si>
  <si>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</si>
  <si>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</si>
  <si>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</si>
  <si>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</si>
  <si>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</si>
  <si>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</si>
  <si>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</si>
  <si>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</si>
  <si>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</si>
  <si>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</si>
  <si>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</si>
  <si>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</si>
  <si>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</si>
  <si>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</si>
  <si>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</si>
  <si>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</si>
  <si>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</si>
  <si>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</si>
  <si>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</si>
  <si>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</si>
  <si>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</si>
  <si>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</si>
  <si>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</si>
  <si>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</si>
  <si>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</si>
  <si>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</si>
  <si>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</si>
  <si>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</si>
  <si>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</si>
  <si>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</si>
  <si>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</si>
  <si>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</si>
  <si>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</si>
  <si>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</si>
  <si>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</si>
  <si>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</si>
  <si>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</si>
  <si>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</si>
  <si>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</si>
  <si>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</si>
  <si>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</si>
  <si>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</si>
  <si>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</si>
  <si>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</si>
  <si>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</si>
  <si>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</si>
  <si>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</si>
  <si>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</si>
  <si>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</si>
  <si>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</si>
  <si>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</si>
  <si>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</si>
  <si>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</si>
  <si>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</si>
  <si>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</si>
  <si>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</si>
  <si>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</si>
  <si>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</si>
  <si>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</si>
  <si>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</si>
  <si>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</si>
  <si>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</si>
  <si>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</si>
  <si>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</si>
  <si>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</si>
  <si>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</si>
  <si>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</si>
  <si>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</si>
  <si>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</si>
  <si>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</si>
  <si>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</si>
  <si>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</si>
  <si>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</si>
  <si>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</si>
  <si>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</si>
  <si>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</si>
  <si>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</si>
  <si>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</si>
  <si>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</si>
  <si>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</si>
  <si>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</si>
  <si>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</si>
  <si>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</si>
  <si>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</si>
  <si>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</si>
  <si>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</si>
  <si>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</si>
  <si>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</si>
  <si>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</si>
  <si>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</si>
  <si>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</si>
  <si>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</si>
  <si>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</si>
  <si>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</si>
  <si>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</si>
  <si>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</si>
  <si>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</si>
  <si>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</si>
  <si>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</si>
  <si>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</si>
  <si>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</si>
  <si>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</si>
  <si>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</si>
  <si>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</si>
  <si>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</si>
  <si>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</si>
  <si>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</si>
  <si>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</si>
  <si>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</si>
  <si>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</si>
  <si>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</si>
  <si>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</si>
  <si>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</si>
  <si>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</si>
  <si>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</si>
  <si>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</si>
  <si>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</si>
  <si>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</si>
  <si>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</si>
  <si>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</si>
  <si>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</si>
  <si>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</si>
  <si>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</si>
  <si>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</si>
  <si>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</si>
  <si>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</si>
  <si>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</si>
  <si>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</si>
  <si>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</si>
  <si>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</si>
  <si>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</si>
  <si>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</si>
  <si>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</si>
  <si>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</si>
  <si>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</si>
  <si>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</si>
  <si>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</si>
  <si>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</si>
  <si>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</si>
  <si>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</si>
  <si>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</si>
  <si>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</si>
  <si>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</si>
  <si>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</si>
  <si>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</si>
  <si>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</si>
  <si>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</si>
  <si>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</si>
  <si>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</si>
  <si>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</si>
  <si>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</si>
  <si>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</si>
  <si>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</si>
  <si>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</si>
  <si>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</si>
  <si>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</si>
  <si>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</si>
  <si>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</si>
  <si>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</si>
  <si>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</si>
  <si>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</si>
  <si>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</si>
  <si>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</si>
  <si>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</si>
  <si>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</si>
  <si>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</si>
  <si>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</si>
  <si>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</si>
  <si>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</si>
  <si>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</si>
  <si>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</si>
  <si>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</si>
  <si>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</si>
  <si>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</si>
  <si>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</si>
  <si>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</si>
  <si>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</si>
  <si>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</si>
  <si>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</si>
  <si>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</si>
  <si>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</si>
  <si>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</si>
  <si>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</si>
  <si>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</si>
  <si>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</si>
  <si>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</si>
  <si>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</si>
  <si>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</si>
  <si>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</si>
  <si>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</si>
  <si>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</si>
  <si>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</si>
  <si>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</si>
  <si>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</si>
  <si>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</si>
  <si>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</si>
  <si>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</si>
  <si>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</si>
  <si>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</si>
  <si>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</si>
  <si>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</si>
  <si>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</si>
  <si>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</si>
  <si>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</si>
  <si>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</si>
  <si>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</si>
  <si>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</si>
  <si>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</si>
  <si>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</si>
  <si>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</si>
  <si>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</si>
  <si>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</si>
  <si>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</si>
  <si>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</si>
  <si>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</si>
  <si>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</si>
  <si>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</si>
  <si>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</si>
  <si>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</si>
  <si>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</si>
  <si>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</si>
  <si>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</si>
  <si>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</si>
  <si>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</si>
  <si>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</si>
  <si>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</si>
  <si>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</si>
  <si>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</si>
  <si>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</si>
  <si>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</si>
  <si>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</si>
  <si>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</si>
  <si>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</si>
  <si>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</si>
  <si>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</si>
  <si>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</si>
  <si>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</si>
  <si>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</si>
  <si>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</si>
  <si>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</si>
  <si>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</si>
  <si>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</si>
  <si>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</si>
  <si>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</si>
  <si>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</si>
  <si>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</si>
  <si>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</si>
  <si>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</si>
  <si>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</si>
  <si>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</si>
  <si>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</si>
  <si>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</si>
  <si>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</si>
  <si>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</si>
  <si>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</si>
  <si>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</si>
  <si>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</si>
  <si>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</si>
  <si>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</si>
  <si>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</si>
  <si>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</si>
  <si>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</si>
  <si>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</si>
  <si>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</si>
  <si>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</si>
  <si>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</si>
  <si>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</si>
  <si>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</si>
  <si>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</si>
  <si>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</si>
  <si>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</si>
  <si>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</si>
  <si>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</si>
  <si>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</si>
  <si>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</si>
  <si>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</si>
  <si>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</si>
  <si>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</si>
  <si>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</si>
  <si>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</si>
  <si>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</si>
  <si>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</si>
  <si>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</si>
  <si>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</si>
  <si>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</si>
  <si>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</si>
  <si>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</si>
  <si>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</si>
  <si>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</si>
  <si>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</si>
  <si>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</si>
  <si>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</si>
  <si>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</si>
  <si>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</si>
  <si>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</si>
  <si>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</si>
  <si>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</si>
  <si>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</si>
  <si>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</si>
  <si>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</si>
  <si>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</si>
  <si>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</si>
  <si>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</si>
  <si>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</si>
  <si>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</si>
  <si>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</si>
  <si>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</si>
  <si>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</si>
  <si>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</si>
  <si>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</si>
  <si>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</si>
  <si>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</si>
  <si>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</si>
  <si>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</si>
  <si>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</si>
  <si>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</si>
  <si>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</si>
  <si>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</si>
  <si>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</si>
  <si>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</si>
  <si>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</si>
  <si>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</si>
  <si>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</si>
  <si>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</si>
  <si>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</si>
  <si>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</si>
  <si>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</si>
  <si>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</si>
  <si>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</si>
  <si>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</si>
  <si>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</si>
  <si>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</si>
  <si>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</si>
  <si>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</si>
  <si>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</si>
  <si>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</si>
  <si>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</si>
  <si>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</si>
  <si>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</si>
  <si>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</si>
  <si>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</si>
  <si>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</si>
  <si>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</si>
  <si>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</si>
  <si>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</si>
  <si>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</si>
  <si>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</si>
  <si>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</si>
  <si>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</si>
  <si>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</si>
  <si>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</si>
  <si>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</si>
  <si>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</si>
  <si>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</si>
  <si>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</si>
  <si>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</si>
  <si>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</si>
  <si>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</si>
  <si>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</si>
  <si>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</si>
  <si>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</si>
  <si>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</si>
  <si>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</si>
  <si>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</si>
  <si>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</si>
  <si>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</si>
  <si>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</si>
  <si>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</si>
  <si>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</si>
  <si>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</si>
  <si>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</si>
  <si>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</si>
  <si>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</si>
  <si>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</si>
  <si>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</si>
  <si>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</si>
  <si>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</si>
  <si>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</si>
  <si>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</si>
  <si>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</si>
  <si>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</si>
  <si>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</si>
  <si>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</si>
  <si>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</si>
  <si>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</si>
  <si>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</si>
  <si>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</si>
  <si>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</si>
  <si>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</si>
  <si>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</si>
  <si>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</si>
  <si>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</si>
  <si>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</si>
  <si>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</si>
  <si>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</si>
  <si>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</si>
  <si>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</si>
  <si>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</si>
  <si>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</si>
  <si>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</si>
  <si>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</si>
  <si>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</si>
  <si>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</si>
  <si>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</si>
  <si>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</si>
  <si>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</si>
  <si>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</si>
  <si>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</si>
  <si>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</si>
  <si>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</si>
  <si>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</si>
  <si>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</si>
  <si>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</si>
  <si>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</si>
  <si>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</si>
  <si>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</si>
  <si>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</si>
  <si>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</si>
  <si>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</si>
  <si>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</si>
  <si>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</si>
  <si>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</si>
  <si>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</si>
  <si>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</si>
  <si>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</si>
  <si>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</si>
  <si>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</si>
  <si>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</si>
  <si>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</si>
  <si>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</si>
  <si>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</si>
  <si>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</si>
  <si>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</si>
  <si>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</si>
  <si>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</si>
  <si>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</si>
  <si>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</si>
  <si>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</si>
  <si>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</si>
  <si>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</si>
  <si>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</si>
  <si>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</si>
  <si>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</si>
  <si>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</si>
  <si>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</si>
  <si>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</si>
  <si>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</si>
  <si>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</si>
  <si>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</si>
  <si>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</si>
  <si>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</si>
  <si>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</si>
  <si>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</si>
  <si>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</si>
  <si>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</si>
  <si>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</si>
  <si>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</si>
  <si>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</si>
  <si>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</si>
  <si>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</si>
  <si>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</si>
  <si>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</si>
  <si>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</si>
  <si>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</si>
  <si>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</si>
  <si>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</si>
  <si>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</si>
  <si>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</si>
  <si>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</si>
  <si>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</si>
  <si>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</si>
  <si>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</si>
  <si>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</si>
  <si>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</si>
  <si>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</si>
  <si>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</si>
  <si>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</si>
  <si>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</si>
  <si>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</si>
  <si>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</si>
  <si>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</si>
  <si>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</si>
  <si>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</si>
  <si>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</si>
  <si>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</si>
  <si>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</si>
  <si>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</si>
  <si>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</si>
  <si>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</si>
  <si>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</si>
  <si>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</si>
  <si>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</si>
  <si>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</si>
  <si>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</si>
  <si>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</si>
  <si>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</si>
  <si>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</si>
  <si>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</si>
  <si>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</si>
  <si>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</si>
  <si>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</si>
  <si>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</si>
  <si>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</si>
  <si>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</si>
  <si>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</si>
  <si>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</si>
  <si>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</si>
  <si>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</si>
  <si>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</si>
  <si>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</si>
  <si>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</si>
  <si>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</si>
  <si>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</si>
  <si>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</si>
  <si>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</si>
  <si>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</si>
  <si>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</si>
  <si>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</si>
  <si>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</si>
  <si>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</si>
  <si>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</si>
  <si>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</si>
  <si>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</si>
  <si>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</si>
  <si>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</si>
  <si>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</si>
  <si>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</si>
  <si>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</si>
  <si>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</si>
  <si>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</si>
  <si>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</si>
  <si>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</si>
  <si>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</si>
  <si>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</si>
  <si>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</si>
  <si>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</si>
  <si>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</si>
  <si>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</si>
  <si>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</si>
  <si>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</si>
  <si>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</si>
  <si>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</si>
  <si>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</si>
  <si>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</si>
  <si>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</si>
  <si>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</si>
  <si>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</si>
  <si>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</si>
  <si>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</si>
  <si>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</si>
  <si>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</si>
  <si>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</si>
  <si>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</si>
  <si>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</si>
  <si>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</si>
  <si>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</si>
  <si>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</si>
  <si>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</si>
  <si>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</si>
  <si>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</si>
  <si>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</si>
  <si>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</si>
  <si>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</si>
  <si>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</si>
  <si>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</si>
  <si>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</si>
  <si>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</si>
  <si>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</si>
  <si>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</si>
  <si>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</si>
  <si>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</si>
  <si>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</si>
  <si>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</si>
  <si>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</si>
  <si>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</si>
  <si>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</si>
  <si>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</si>
  <si>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</si>
  <si>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</si>
  <si>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</si>
  <si>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</si>
  <si>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</si>
  <si>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</si>
  <si>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</si>
  <si>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</si>
  <si>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</si>
  <si>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</si>
  <si>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</si>
  <si>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</si>
  <si>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</si>
  <si>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</si>
  <si>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</si>
  <si>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</si>
  <si>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</si>
  <si>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</si>
  <si>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</si>
  <si>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</si>
  <si>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</si>
  <si>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</si>
  <si>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</si>
  <si>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</si>
  <si>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</si>
  <si>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</si>
  <si>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</si>
  <si>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</si>
  <si>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</si>
  <si>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</si>
  <si>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</si>
  <si>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</si>
  <si>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</si>
  <si>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</si>
  <si>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</si>
  <si>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</si>
  <si>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</si>
  <si>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</si>
  <si>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</si>
  <si>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</si>
  <si>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</si>
  <si>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</si>
  <si>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</si>
  <si>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</si>
  <si>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</si>
  <si>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</si>
  <si>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</si>
  <si>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</si>
  <si>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</si>
  <si>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</si>
  <si>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</si>
  <si>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</si>
  <si>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</si>
  <si>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</si>
  <si>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</si>
  <si>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</si>
  <si>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</si>
  <si>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</si>
  <si>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</si>
  <si>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</si>
  <si>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</si>
  <si>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</si>
  <si>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</si>
  <si>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</si>
  <si>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</si>
  <si>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</si>
  <si>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</si>
  <si>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</si>
  <si>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</si>
  <si>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</si>
  <si>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</si>
  <si>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</si>
  <si>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</si>
  <si>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</si>
  <si>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</si>
  <si>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</si>
  <si>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</si>
  <si>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</si>
  <si>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</si>
  <si>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</si>
  <si>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</si>
  <si>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</si>
  <si>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</si>
  <si>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</si>
  <si>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</si>
  <si>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</si>
  <si>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</si>
  <si>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</si>
  <si>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</si>
  <si>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</si>
  <si>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</si>
  <si>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</si>
  <si>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</si>
  <si>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</si>
  <si>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</si>
  <si>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</si>
  <si>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</si>
  <si>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</si>
  <si>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</si>
  <si>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</si>
  <si>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</si>
  <si>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</si>
  <si>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</si>
  <si>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</si>
  <si>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</si>
  <si>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</si>
  <si>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</si>
  <si>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</si>
  <si>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</si>
  <si>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</si>
  <si>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</si>
  <si>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</si>
  <si>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</si>
  <si>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</si>
  <si>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</si>
  <si>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</si>
  <si>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</si>
  <si>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</si>
  <si>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</si>
  <si>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</si>
  <si>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</si>
  <si>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</si>
  <si>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</si>
  <si>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</si>
  <si>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</si>
  <si>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</si>
  <si>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</si>
  <si>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</si>
  <si>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</si>
  <si>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</si>
  <si>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</si>
  <si>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</si>
  <si>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</si>
  <si>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</si>
  <si>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</si>
  <si>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</si>
  <si>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</si>
  <si>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</si>
  <si>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</si>
  <si>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</si>
  <si>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</si>
  <si>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</si>
  <si>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</si>
  <si>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</si>
  <si>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</si>
  <si>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</si>
  <si>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</si>
  <si>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</si>
  <si>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</si>
  <si>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</si>
  <si>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</si>
  <si>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</si>
  <si>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</si>
  <si>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</si>
  <si>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</si>
  <si>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</si>
  <si>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</si>
  <si>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</si>
  <si>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</si>
  <si>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</si>
  <si>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</si>
  <si>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</si>
  <si>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</si>
  <si>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</si>
  <si>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</si>
  <si>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</si>
  <si>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</si>
  <si>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</si>
  <si>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</si>
  <si>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</si>
  <si>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</si>
  <si>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</si>
  <si>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</si>
  <si>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</si>
  <si>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</si>
  <si>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</si>
  <si>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</si>
  <si>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</si>
  <si>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</si>
  <si>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</si>
  <si>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</si>
  <si>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</si>
  <si>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</si>
  <si>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</si>
  <si>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</si>
  <si>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</si>
  <si>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</si>
  <si>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</si>
  <si>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</si>
  <si>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</si>
  <si>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</si>
  <si>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</si>
  <si>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</si>
  <si>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</si>
  <si>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</si>
  <si>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</si>
  <si>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</si>
  <si>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</si>
  <si>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</si>
  <si>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</si>
  <si>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</si>
  <si>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</si>
  <si>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</si>
  <si>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</si>
  <si>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</si>
  <si>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</si>
  <si>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</si>
  <si>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</si>
  <si>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</si>
  <si>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</si>
  <si>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</si>
  <si>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</si>
  <si>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</si>
  <si>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</si>
  <si>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</si>
  <si>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</si>
  <si>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</si>
  <si>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</si>
  <si>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</si>
  <si>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</si>
  <si>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</si>
  <si>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</si>
  <si>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</si>
  <si>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</si>
  <si>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</si>
  <si>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</si>
  <si>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</si>
  <si>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</si>
  <si>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</si>
  <si>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</si>
  <si>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</si>
  <si>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</si>
  <si>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</si>
  <si>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</si>
  <si>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</si>
  <si>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</si>
  <si>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</si>
  <si>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</si>
  <si>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</si>
  <si>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</si>
  <si>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</si>
  <si>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</si>
  <si>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</si>
  <si>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</si>
  <si>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</si>
  <si>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</si>
  <si>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</si>
  <si>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</si>
  <si>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</si>
  <si>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</si>
  <si>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</si>
  <si>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</si>
  <si>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</si>
  <si>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</si>
  <si>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</si>
  <si>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</si>
  <si>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</si>
  <si>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</si>
  <si>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</si>
  <si>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</si>
  <si>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</si>
  <si>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</si>
  <si>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</si>
  <si>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</si>
  <si>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</si>
  <si>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</si>
  <si>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</si>
  <si>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</si>
  <si>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</si>
  <si>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</si>
  <si>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</si>
  <si>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</si>
  <si>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</si>
  <si>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</si>
  <si>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</si>
  <si>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</si>
  <si>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</si>
  <si>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</si>
  <si>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</si>
  <si>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</si>
  <si>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</si>
  <si>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</si>
  <si>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</si>
  <si>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</si>
  <si>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</si>
  <si>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</si>
  <si>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</si>
  <si>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</si>
  <si>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</si>
  <si>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</si>
  <si>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</si>
  <si>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</si>
  <si>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</si>
  <si>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</si>
  <si>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</si>
  <si>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</si>
  <si>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</si>
  <si>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</si>
  <si>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</si>
  <si>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</si>
  <si>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</si>
  <si>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</si>
  <si>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</si>
  <si>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</si>
  <si>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</si>
  <si>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</si>
  <si>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</si>
  <si>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</si>
  <si>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</si>
  <si>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</si>
  <si>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</si>
  <si>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</si>
  <si>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</si>
  <si>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</si>
  <si>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</si>
  <si>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</si>
  <si>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</si>
  <si>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</si>
  <si>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</si>
  <si>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</si>
  <si>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</si>
  <si>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</si>
  <si>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</si>
  <si>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</si>
  <si>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</si>
  <si>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</si>
  <si>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</si>
  <si>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</si>
  <si>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</si>
  <si>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</si>
  <si>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</si>
  <si>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</si>
  <si>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</si>
  <si>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</si>
  <si>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</si>
  <si>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</si>
  <si>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</si>
  <si>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</si>
  <si>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</si>
  <si>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</si>
  <si>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</si>
  <si>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</si>
  <si>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</si>
  <si>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</si>
  <si>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</si>
  <si>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</si>
  <si>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</si>
  <si>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</si>
  <si>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</si>
  <si>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</si>
  <si>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</si>
  <si>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</si>
  <si>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</si>
  <si>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</si>
  <si>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</si>
  <si>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</si>
  <si>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</si>
  <si>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</si>
  <si>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</si>
  <si>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</si>
  <si>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</si>
  <si>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</si>
  <si>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</si>
  <si>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</si>
  <si>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</si>
  <si>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</si>
  <si>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</si>
  <si>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</si>
  <si>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</si>
  <si>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</si>
  <si>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</si>
  <si>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</si>
  <si>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</si>
  <si>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</si>
  <si>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</si>
  <si>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</si>
  <si>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</si>
  <si>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</si>
  <si>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</si>
  <si>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</si>
  <si>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</si>
  <si>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</si>
  <si>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</si>
  <si>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</si>
  <si>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</si>
  <si>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</si>
  <si>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</si>
  <si>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</si>
  <si>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</si>
  <si>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</si>
  <si>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</si>
  <si>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</si>
  <si>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</si>
  <si>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</si>
  <si>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</si>
  <si>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</si>
  <si>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</si>
  <si>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</si>
  <si>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</si>
  <si>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</si>
  <si>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</si>
  <si>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</si>
  <si>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</si>
  <si>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</si>
  <si>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</si>
  <si>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</si>
  <si>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</si>
  <si>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</si>
  <si>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</si>
  <si>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</si>
  <si>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</si>
  <si>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</si>
  <si>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</si>
  <si>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</si>
  <si>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</si>
  <si>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</si>
  <si>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</si>
  <si>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</si>
  <si>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</si>
  <si>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</si>
  <si>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</si>
  <si>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</si>
  <si>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</si>
  <si>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</si>
  <si>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</si>
  <si>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</si>
  <si>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</si>
  <si>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</si>
  <si>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</si>
  <si>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</si>
  <si>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</si>
  <si>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</si>
  <si>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</si>
  <si>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</si>
  <si>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</si>
  <si>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</si>
  <si>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</si>
  <si>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</si>
  <si>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</si>
  <si>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</si>
  <si>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</si>
  <si>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</si>
  <si>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</si>
  <si>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</si>
  <si>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</si>
  <si>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</si>
  <si>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</si>
  <si>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</si>
  <si>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</si>
  <si>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</si>
  <si>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</si>
  <si>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</si>
  <si>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</si>
  <si>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</si>
  <si>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</si>
  <si>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</si>
  <si>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</si>
  <si>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</si>
  <si>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</si>
  <si>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</si>
  <si>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</si>
  <si>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</si>
  <si>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</si>
  <si>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</si>
  <si>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</si>
  <si>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</si>
  <si>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</si>
  <si>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</si>
  <si>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</si>
  <si>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</si>
  <si>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</si>
  <si>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</si>
  <si>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</si>
  <si>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</si>
  <si>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</si>
  <si>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</si>
  <si>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</si>
  <si>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</si>
  <si>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</si>
  <si>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</si>
  <si>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</si>
  <si>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</si>
  <si>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</si>
  <si>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</si>
  <si>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</si>
  <si>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</si>
  <si>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</si>
  <si>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</si>
  <si>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</si>
  <si>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</si>
  <si>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</si>
  <si>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</si>
  <si>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</si>
  <si>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</si>
  <si>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</si>
  <si>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</si>
  <si>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</si>
  <si>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</si>
  <si>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</si>
  <si>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</si>
  <si>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</si>
  <si>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</si>
  <si>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</si>
  <si>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</si>
  <si>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</si>
  <si>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</si>
  <si>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</si>
  <si>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</si>
  <si>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</si>
  <si>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</si>
  <si>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</si>
  <si>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</si>
  <si>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</si>
  <si>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</si>
  <si>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</si>
  <si>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</si>
  <si>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</si>
  <si>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</si>
  <si>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</si>
  <si>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</si>
  <si>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</si>
  <si>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</si>
  <si>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</si>
  <si>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</si>
  <si>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</si>
  <si>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</si>
  <si>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</si>
  <si>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</si>
  <si>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</si>
  <si>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</si>
  <si>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</si>
  <si>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</si>
  <si>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</si>
  <si>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</si>
  <si>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</si>
  <si>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</si>
  <si>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</si>
  <si>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</si>
  <si>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</si>
  <si>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</si>
  <si>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</si>
  <si>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</si>
  <si>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</si>
  <si>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</si>
  <si>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</si>
  <si>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</si>
  <si>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</si>
  <si>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</si>
  <si>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</si>
  <si>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</si>
  <si>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</si>
  <si>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</si>
  <si>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</si>
  <si>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</si>
  <si>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</si>
  <si>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</si>
  <si>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</si>
  <si>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</si>
  <si>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</si>
  <si>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</si>
  <si>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</si>
  <si>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</si>
  <si>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</si>
  <si>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</si>
  <si>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</si>
  <si>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</si>
  <si>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</si>
  <si>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</si>
  <si>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</si>
  <si>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</si>
  <si>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</si>
  <si>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</si>
  <si>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</si>
  <si>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</si>
  <si>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</si>
  <si>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</si>
  <si>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</si>
  <si>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</si>
  <si>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</si>
  <si>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</si>
  <si>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</si>
  <si>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</si>
  <si>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</si>
  <si>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</si>
  <si>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</si>
  <si>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</si>
  <si>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</si>
  <si>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</si>
  <si>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</si>
  <si>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</si>
  <si>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</si>
  <si>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</si>
  <si>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</si>
  <si>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</si>
  <si>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</si>
  <si>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</si>
  <si>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</si>
  <si>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</si>
  <si>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</si>
  <si>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</si>
  <si>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</si>
  <si>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</si>
  <si>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</si>
  <si>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</si>
  <si>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</si>
  <si>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</si>
  <si>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</si>
  <si>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</si>
  <si>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</si>
  <si>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</si>
  <si>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</si>
  <si>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</si>
  <si>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</si>
  <si>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</si>
  <si>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</si>
  <si>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</si>
  <si>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</si>
  <si>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</si>
  <si>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</si>
  <si>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</si>
  <si>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</si>
  <si>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</si>
  <si>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</si>
  <si>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</si>
  <si>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</si>
  <si>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</si>
  <si>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</si>
  <si>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</si>
  <si>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</si>
  <si>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</si>
  <si>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</si>
  <si>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</si>
  <si>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</si>
  <si>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</si>
  <si>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</si>
  <si>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</si>
  <si>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</si>
  <si>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</si>
  <si>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</si>
  <si>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</si>
  <si>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</si>
  <si>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</si>
  <si>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</si>
  <si>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</si>
  <si>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</si>
  <si>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</si>
  <si>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</si>
  <si>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</si>
  <si>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</si>
  <si>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</si>
  <si>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</si>
  <si>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</si>
  <si>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</si>
  <si>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</si>
  <si>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</si>
  <si>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</si>
  <si>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</si>
  <si>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</si>
  <si>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</si>
  <si>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</si>
  <si>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</si>
  <si>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</si>
  <si>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</si>
  <si>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</si>
  <si>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</si>
  <si>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</si>
  <si>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</si>
  <si>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</si>
  <si>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</si>
  <si>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</si>
  <si>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</si>
  <si>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</si>
  <si>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</si>
  <si>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</si>
  <si>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</si>
  <si>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</si>
  <si>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</si>
  <si>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</si>
  <si>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</si>
  <si>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</si>
  <si>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</si>
  <si>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</si>
  <si>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</si>
  <si>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</si>
  <si>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</si>
  <si>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</si>
  <si>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</si>
  <si>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</si>
  <si>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</si>
  <si>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</si>
  <si>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</si>
  <si>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</si>
  <si>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</si>
  <si>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</si>
  <si>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</si>
  <si>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</si>
  <si>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</si>
  <si>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</si>
  <si>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</si>
  <si>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</si>
  <si>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</si>
  <si>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</si>
  <si>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</si>
  <si>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</si>
  <si>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</si>
  <si>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</si>
  <si>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</si>
  <si>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</si>
  <si>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</si>
  <si>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</si>
  <si>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</si>
  <si>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</si>
  <si>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</si>
  <si>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</si>
  <si>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</si>
  <si>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</si>
  <si>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</si>
  <si>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</si>
  <si>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</si>
  <si>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</si>
  <si>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</si>
  <si>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</si>
  <si>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</si>
  <si>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</si>
  <si>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</si>
  <si>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</si>
  <si>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</si>
  <si>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</si>
  <si>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</si>
  <si>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</si>
  <si>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</si>
  <si>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</si>
  <si>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</si>
  <si>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</si>
  <si>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</si>
  <si>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</si>
  <si>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</si>
  <si>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</si>
  <si>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</si>
  <si>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</si>
  <si>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</si>
  <si>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</si>
  <si>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</si>
  <si>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</si>
  <si>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</si>
  <si>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</si>
  <si>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</si>
  <si>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</si>
  <si>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</si>
  <si>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</si>
  <si>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</si>
  <si>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</si>
  <si>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</si>
  <si>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</si>
  <si>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</si>
  <si>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</si>
  <si>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</si>
  <si>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</si>
  <si>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</si>
  <si>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</si>
  <si>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</si>
  <si>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</si>
  <si>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</si>
  <si>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</si>
  <si>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</si>
  <si>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</si>
  <si>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</si>
  <si>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</si>
  <si>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</si>
  <si>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</si>
  <si>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</si>
  <si>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</si>
  <si>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</si>
  <si>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</si>
  <si>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</si>
  <si>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</si>
  <si>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</si>
  <si>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</si>
  <si>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</si>
  <si>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</si>
  <si>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</si>
  <si>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</si>
  <si>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</si>
  <si>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</si>
  <si>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</si>
  <si>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</si>
  <si>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</si>
  <si>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</si>
  <si>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</si>
  <si>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</si>
  <si>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</si>
  <si>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</si>
  <si>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</si>
  <si>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</si>
  <si>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</si>
  <si>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</si>
  <si>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</si>
  <si>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</si>
  <si>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</si>
  <si>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</si>
  <si>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</si>
  <si>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</si>
  <si>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</si>
  <si>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</si>
  <si>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</si>
  <si>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</si>
  <si>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</si>
  <si>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</si>
  <si>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</si>
  <si>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</si>
  <si>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</si>
  <si>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</si>
  <si>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</si>
  <si>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</si>
  <si>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</si>
  <si>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</si>
  <si>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</si>
  <si>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</si>
  <si>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</si>
  <si>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</si>
  <si>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</si>
  <si>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</si>
  <si>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</si>
  <si>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</si>
  <si>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</si>
  <si>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</si>
  <si>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</si>
  <si>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</si>
  <si>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</si>
  <si>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</si>
  <si>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</si>
  <si>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</si>
  <si>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</si>
  <si>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</si>
  <si>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</si>
  <si>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</si>
  <si>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</si>
  <si>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</si>
  <si>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</si>
  <si>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</si>
  <si>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</si>
  <si>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</si>
  <si>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</si>
  <si>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</si>
  <si>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</si>
  <si>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</si>
  <si>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</si>
  <si>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</si>
  <si>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</si>
  <si>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</si>
  <si>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</si>
  <si>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</si>
  <si>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</si>
  <si>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</si>
  <si>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</si>
  <si>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</si>
  <si>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</si>
  <si>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</si>
  <si>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</si>
  <si>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</si>
  <si>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</si>
  <si>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</si>
  <si>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</si>
  <si>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</si>
  <si>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</si>
  <si>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</si>
  <si>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</si>
  <si>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</si>
  <si>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</si>
  <si>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</si>
  <si>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</si>
  <si>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</si>
  <si>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</si>
  <si>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</si>
  <si>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</si>
  <si>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</si>
  <si>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</si>
  <si>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</si>
  <si>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</si>
  <si>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</si>
  <si>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</si>
  <si>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</si>
  <si>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</si>
  <si>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</si>
  <si>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</si>
  <si>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</si>
  <si>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</si>
  <si>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</si>
  <si>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</si>
  <si>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</si>
  <si>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</si>
  <si>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</si>
  <si>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</si>
  <si>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</si>
  <si>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</si>
  <si>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</si>
  <si>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</si>
  <si>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</si>
  <si>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</si>
  <si>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</si>
  <si>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</si>
  <si>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</si>
  <si>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</si>
  <si>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</si>
  <si>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</si>
  <si>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</si>
  <si>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</si>
  <si>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</si>
  <si>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</si>
  <si>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</si>
  <si>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</si>
  <si>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</si>
  <si>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</si>
  <si>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</si>
  <si>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</si>
  <si>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</si>
  <si>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</si>
  <si>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</si>
  <si>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</si>
  <si>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</si>
  <si>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</si>
  <si>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</si>
  <si>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</si>
  <si>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</si>
  <si>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</si>
  <si>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</si>
  <si>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</si>
  <si>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</si>
  <si>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</si>
  <si>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</si>
  <si>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</si>
  <si>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</si>
  <si>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</si>
  <si>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</si>
  <si>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</si>
  <si>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</si>
  <si>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</si>
  <si>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</si>
  <si>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</si>
  <si>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</si>
  <si>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</si>
  <si>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</si>
  <si>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</si>
  <si>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</si>
  <si>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</si>
  <si>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</si>
  <si>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</si>
  <si>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</si>
  <si>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</si>
  <si>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</si>
  <si>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</si>
  <si>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</si>
  <si>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</si>
  <si>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</si>
  <si>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</si>
  <si>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</si>
  <si>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</si>
  <si>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</si>
  <si>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</si>
  <si>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</si>
  <si>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</si>
  <si>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</si>
  <si>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</si>
  <si>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</si>
  <si>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</si>
  <si>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</si>
  <si>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</si>
  <si>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</si>
  <si>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</si>
  <si>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</si>
  <si>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</si>
  <si>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</si>
  <si>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</si>
  <si>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</si>
  <si>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</si>
  <si>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</si>
  <si>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</si>
  <si>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</si>
  <si>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</si>
  <si>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</si>
  <si>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</si>
  <si>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</si>
  <si>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</si>
  <si>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</si>
  <si>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</si>
  <si>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</si>
  <si>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</si>
  <si>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</si>
  <si>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</si>
  <si>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</si>
  <si>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</si>
  <si>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</si>
  <si>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</si>
  <si>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</si>
  <si>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</si>
  <si>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</si>
  <si>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</si>
  <si>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</si>
  <si>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</si>
  <si>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</si>
  <si>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</si>
  <si>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</si>
  <si>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</si>
  <si>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</si>
  <si>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</si>
  <si>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</si>
  <si>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</si>
  <si>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</si>
  <si>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</si>
  <si>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</si>
  <si>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</si>
  <si>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</si>
  <si>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</si>
  <si>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</si>
  <si>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</si>
  <si>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</si>
  <si>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</si>
  <si>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</si>
  <si>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</si>
  <si>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</si>
  <si>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</si>
  <si>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</si>
  <si>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</si>
  <si>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</si>
  <si>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</si>
  <si>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</si>
  <si>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</si>
  <si>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</si>
  <si>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</si>
  <si>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</si>
  <si>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</si>
  <si>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</si>
  <si>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</si>
  <si>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</si>
  <si>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</si>
  <si>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</si>
  <si>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</si>
  <si>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</si>
  <si>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</si>
  <si>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</si>
  <si>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</si>
  <si>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</si>
  <si>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</si>
  <si>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</si>
  <si>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</si>
  <si>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</si>
  <si>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</si>
  <si>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</si>
  <si>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</si>
  <si>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</si>
  <si>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</si>
  <si>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</si>
  <si>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</si>
  <si>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</si>
  <si>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</si>
  <si>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</si>
  <si>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</si>
  <si>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</si>
  <si>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</si>
  <si>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</si>
  <si>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</si>
  <si>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</si>
  <si>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</si>
  <si>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</si>
  <si>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</si>
  <si>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</si>
  <si>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</si>
  <si>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</si>
  <si>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</si>
  <si>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</si>
  <si>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</si>
  <si>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</si>
  <si>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</si>
  <si>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</si>
  <si>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</si>
  <si>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</si>
  <si>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</si>
  <si>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</si>
  <si>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</si>
  <si>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</si>
  <si>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</si>
  <si>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</si>
  <si>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</si>
  <si>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</si>
  <si>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</si>
  <si>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</si>
  <si>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</si>
  <si>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</si>
  <si>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</si>
  <si>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</si>
  <si>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</si>
  <si>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</si>
  <si>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</si>
  <si>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</si>
  <si>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</si>
  <si>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</si>
  <si>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</si>
  <si>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</si>
  <si>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</si>
  <si>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</si>
  <si>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</si>
  <si>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</si>
  <si>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</si>
  <si>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</si>
  <si>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</si>
  <si>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</si>
  <si>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</si>
  <si>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</si>
  <si>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</si>
  <si>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</si>
  <si>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</si>
  <si>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</si>
  <si>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</si>
  <si>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</si>
  <si>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</si>
  <si>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</si>
  <si>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</si>
  <si>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</si>
  <si>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</si>
  <si>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</si>
  <si>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</si>
  <si>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</si>
  <si>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</si>
  <si>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</si>
  <si>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</si>
  <si>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</si>
  <si>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</si>
  <si>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</si>
  <si>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</si>
  <si>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</si>
  <si>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</si>
  <si>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</si>
  <si>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</si>
  <si>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</si>
  <si>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</si>
  <si>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</si>
  <si>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</si>
  <si>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</si>
  <si>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</si>
  <si>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</si>
  <si>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</si>
  <si>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</si>
  <si>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</si>
  <si>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</si>
  <si>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</si>
  <si>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</si>
  <si>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</si>
  <si>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</si>
  <si>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</si>
  <si>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</si>
  <si>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</si>
  <si>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</si>
  <si>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</si>
  <si>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</si>
  <si>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</si>
  <si>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</si>
  <si>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</si>
  <si>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</si>
  <si>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</si>
  <si>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</si>
  <si>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</si>
  <si>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</si>
  <si>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</si>
  <si>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</si>
  <si>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</si>
  <si>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</si>
  <si>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</si>
  <si>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</si>
  <si>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</si>
  <si>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</si>
  <si>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</si>
  <si>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</si>
  <si>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</si>
  <si>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</si>
  <si>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</si>
  <si>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</si>
  <si>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</si>
  <si>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</si>
  <si>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</si>
  <si>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</si>
  <si>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</si>
  <si>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</si>
  <si>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</si>
  <si>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</si>
  <si>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</si>
  <si>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</si>
  <si>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</si>
  <si>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</si>
  <si>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</si>
  <si>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</si>
  <si>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</si>
  <si>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</si>
  <si>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</si>
  <si>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</si>
  <si>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</si>
  <si>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</si>
  <si>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</si>
  <si>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</si>
  <si>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</si>
  <si>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</si>
  <si>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</si>
  <si>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</si>
  <si>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</si>
  <si>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</si>
  <si>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</si>
  <si>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</si>
  <si>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</si>
  <si>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</si>
  <si>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</si>
  <si>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</si>
  <si>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</si>
  <si>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</si>
  <si>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</si>
  <si>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</si>
  <si>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</si>
  <si>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</si>
  <si>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</si>
  <si>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</si>
  <si>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</si>
  <si>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</si>
  <si>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</si>
  <si>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</si>
  <si>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</si>
  <si>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</si>
  <si>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</si>
  <si>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</si>
  <si>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</si>
  <si>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</si>
  <si>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</si>
  <si>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</si>
  <si>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</si>
  <si>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</si>
  <si>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</si>
  <si>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</si>
  <si>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</si>
  <si>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</si>
  <si>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</si>
  <si>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</si>
  <si>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</si>
  <si>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</si>
  <si>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</si>
  <si>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</si>
  <si>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</si>
  <si>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</si>
  <si>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</si>
  <si>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</si>
  <si>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</si>
  <si>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</si>
  <si>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</si>
  <si>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</si>
  <si>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</si>
  <si>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</si>
  <si>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</si>
  <si>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</si>
  <si>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</si>
  <si>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</si>
  <si>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</si>
  <si>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</si>
  <si>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</si>
  <si>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</si>
  <si>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</si>
  <si>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</si>
  <si>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</si>
  <si>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</si>
  <si>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</si>
  <si>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</si>
  <si>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</si>
  <si>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</si>
  <si>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</si>
  <si>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</si>
  <si>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</si>
  <si>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</si>
  <si>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</si>
  <si>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</si>
  <si>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</si>
  <si>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</si>
  <si>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</si>
  <si>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</si>
  <si>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</si>
  <si>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</si>
  <si>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</si>
  <si>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</si>
  <si>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</si>
  <si>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</si>
  <si>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</si>
  <si>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</si>
  <si>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</si>
  <si>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</si>
  <si>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</si>
  <si>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</si>
  <si>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</si>
  <si>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</si>
  <si>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</si>
  <si>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</si>
  <si>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</si>
  <si>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</si>
  <si>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</si>
  <si>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</si>
  <si>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</si>
  <si>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</si>
  <si>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</si>
  <si>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</si>
  <si>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</si>
  <si>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</si>
  <si>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</si>
  <si>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</si>
  <si>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</si>
  <si>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</si>
  <si>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</si>
  <si>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</si>
  <si>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</si>
  <si>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</si>
  <si>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</si>
  <si>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</si>
  <si>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</si>
  <si>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</si>
  <si>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</si>
  <si>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</si>
  <si>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</si>
  <si>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</si>
  <si>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</si>
  <si>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</si>
  <si>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</si>
  <si>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</si>
  <si>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</si>
  <si>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</si>
  <si>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</si>
  <si>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</si>
  <si>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</si>
  <si>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</si>
  <si>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</si>
  <si>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</si>
  <si>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</si>
  <si>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</si>
  <si>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</si>
  <si>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</si>
  <si>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</si>
  <si>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</si>
  <si>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</si>
  <si>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</si>
  <si>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</si>
  <si>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</si>
  <si>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</si>
  <si>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</si>
  <si>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</si>
  <si>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</si>
  <si>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</si>
  <si>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</si>
  <si>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</si>
  <si>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</si>
  <si>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</si>
  <si>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</si>
  <si>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</si>
  <si>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</si>
  <si>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</si>
  <si>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</si>
  <si>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</si>
  <si>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</si>
  <si>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</si>
  <si>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</si>
  <si>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</si>
  <si>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</si>
  <si>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</si>
  <si>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</si>
  <si>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</si>
  <si>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</si>
  <si>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</si>
  <si>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</si>
  <si>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</si>
  <si>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</si>
  <si>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</si>
  <si>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</si>
  <si>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</si>
  <si>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</si>
  <si>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</si>
  <si>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</si>
  <si>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</si>
  <si>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</si>
  <si>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</si>
  <si>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</si>
  <si>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</si>
  <si>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</si>
  <si>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</si>
  <si>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</si>
  <si>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</si>
  <si>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</si>
  <si>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</si>
  <si>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</si>
  <si>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</si>
  <si>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</si>
  <si>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</si>
  <si>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</si>
  <si>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</si>
  <si>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</si>
  <si>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</si>
  <si>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</si>
  <si>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</si>
  <si>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</si>
  <si>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</si>
  <si>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</si>
  <si>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</si>
  <si>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</si>
  <si>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</si>
  <si>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</si>
  <si>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</si>
  <si>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</si>
  <si>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</si>
  <si>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</si>
  <si>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</si>
  <si>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</si>
  <si>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</si>
  <si>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</si>
  <si>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</si>
  <si>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</si>
  <si>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</si>
  <si>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</si>
  <si>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</si>
  <si>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</si>
  <si>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</si>
  <si>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</si>
  <si>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</si>
  <si>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</si>
  <si>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</si>
  <si>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</si>
  <si>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</si>
  <si>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</si>
  <si>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</si>
  <si>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</si>
  <si>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</si>
  <si>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</si>
  <si>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</si>
  <si>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</si>
  <si>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</si>
  <si>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</si>
  <si>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</si>
  <si>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</si>
  <si>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</si>
  <si>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</si>
  <si>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</si>
  <si>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</si>
  <si>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</si>
  <si>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</si>
  <si>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</si>
  <si>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</si>
  <si>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</si>
  <si>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</si>
  <si>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</si>
  <si>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</si>
  <si>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</si>
  <si>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</si>
  <si>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</si>
  <si>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</si>
  <si>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</si>
  <si>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</si>
  <si>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</si>
  <si>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</si>
  <si>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</si>
  <si>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</si>
  <si>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</si>
  <si>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</si>
  <si>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</si>
  <si>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</si>
  <si>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</si>
  <si>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</si>
  <si>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</si>
  <si>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</si>
  <si>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</si>
  <si>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</si>
  <si>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</si>
  <si>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</si>
  <si>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</si>
  <si>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</si>
  <si>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</si>
  <si>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</si>
  <si>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</si>
  <si>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</si>
  <si>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</si>
  <si>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</si>
  <si>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</si>
  <si>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</si>
  <si>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</si>
  <si>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</si>
  <si>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</si>
  <si>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</si>
  <si>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</si>
  <si>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</si>
  <si>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</si>
  <si>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</si>
  <si>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</si>
  <si>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</si>
  <si>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</si>
  <si>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</si>
  <si>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</si>
  <si>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</si>
  <si>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</si>
  <si>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</si>
  <si>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</si>
  <si>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</si>
  <si>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</si>
  <si>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</si>
  <si>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</si>
  <si>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</si>
  <si>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</si>
  <si>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</si>
  <si>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</si>
  <si>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</si>
  <si>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</si>
  <si>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</si>
  <si>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</si>
  <si>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</si>
  <si>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</si>
  <si>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</si>
  <si>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</si>
  <si>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</si>
  <si>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</si>
  <si>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</si>
  <si>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</si>
  <si>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</si>
  <si>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</si>
  <si>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</si>
  <si>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</si>
  <si>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</si>
  <si>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</si>
  <si>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</si>
  <si>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</si>
  <si>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</si>
  <si>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</si>
  <si>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</si>
  <si>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</si>
  <si>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</si>
  <si>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</si>
  <si>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</si>
  <si>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</si>
  <si>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</si>
  <si>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</si>
  <si>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</si>
  <si>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</si>
  <si>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</si>
  <si>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</si>
  <si>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</si>
  <si>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</si>
  <si>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</si>
  <si>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</si>
  <si>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</si>
  <si>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</si>
  <si>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</si>
  <si>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</si>
  <si>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</si>
  <si>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</si>
  <si>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</si>
  <si>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</si>
  <si>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</si>
  <si>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</si>
  <si>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</si>
  <si>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</si>
  <si>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</si>
  <si>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</si>
  <si>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</si>
  <si>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</si>
  <si>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</si>
  <si>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</si>
  <si>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</si>
  <si>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</si>
  <si>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</si>
  <si>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</si>
  <si>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</si>
  <si>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</si>
  <si>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</si>
  <si>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</si>
  <si>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</si>
  <si>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</si>
  <si>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</si>
  <si>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</si>
  <si>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</si>
  <si>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</si>
  <si>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</si>
  <si>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</si>
  <si>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</si>
  <si>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</si>
  <si>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</si>
  <si>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</si>
  <si>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</si>
  <si>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</si>
  <si>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</si>
  <si>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</si>
  <si>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</si>
  <si>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</si>
  <si>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</si>
  <si>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</si>
  <si>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</si>
  <si>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</si>
  <si>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</si>
  <si>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</si>
  <si>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</si>
  <si>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</si>
  <si>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</si>
  <si>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</si>
  <si>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</si>
  <si>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</si>
  <si>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</si>
  <si>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</si>
  <si>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</si>
  <si>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</si>
  <si>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</si>
  <si>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</si>
  <si>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</si>
  <si>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</si>
  <si>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</si>
  <si>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</si>
  <si>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</si>
  <si>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</si>
  <si>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</si>
  <si>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</si>
  <si>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</si>
  <si>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</si>
  <si>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</si>
  <si>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</si>
  <si>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</si>
  <si>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</si>
  <si>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</si>
  <si>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</si>
  <si>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</si>
  <si>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</si>
  <si>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</si>
  <si>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</si>
  <si>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</si>
  <si>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</si>
  <si>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</si>
  <si>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</si>
  <si>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</si>
  <si>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</si>
  <si>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</si>
  <si>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</si>
  <si>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</si>
  <si>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</si>
  <si>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</si>
  <si>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</si>
  <si>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</si>
  <si>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</si>
  <si>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</si>
  <si>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</si>
  <si>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</si>
  <si>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</si>
  <si>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</si>
  <si>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</si>
  <si>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</si>
  <si>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</si>
  <si>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</si>
  <si>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</si>
  <si>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</si>
  <si>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</si>
  <si>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</si>
  <si>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</si>
  <si>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</si>
  <si>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</si>
  <si>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</si>
  <si>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</si>
  <si>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</si>
  <si>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</si>
  <si>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</si>
  <si>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</si>
  <si>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</si>
  <si>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</si>
  <si>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</si>
  <si>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</si>
  <si>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</si>
  <si>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</si>
  <si>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</si>
  <si>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</si>
  <si>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</si>
  <si>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</si>
  <si>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</si>
  <si>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</si>
  <si>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</si>
  <si>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</si>
  <si>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</si>
  <si>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</si>
  <si>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</si>
  <si>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</si>
  <si>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</si>
  <si>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</si>
  <si>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</si>
  <si>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</si>
  <si>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</si>
  <si>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</si>
  <si>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</si>
  <si>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</si>
  <si>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</si>
  <si>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</si>
  <si>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</si>
  <si>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</si>
  <si>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</si>
  <si>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</si>
  <si>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</si>
  <si>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</si>
  <si>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</si>
  <si>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</si>
  <si>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</si>
  <si>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</si>
  <si>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</si>
  <si>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</si>
  <si>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</si>
  <si>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</si>
  <si>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</si>
  <si>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</si>
  <si>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</si>
  <si>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</si>
  <si>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</si>
  <si>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</si>
  <si>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</si>
  <si>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</si>
  <si>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</si>
  <si>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</si>
  <si>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</si>
  <si>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</si>
  <si>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</si>
  <si>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</si>
  <si>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</si>
  <si>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</si>
  <si>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</si>
  <si>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</si>
  <si>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</si>
  <si>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</si>
  <si>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</si>
  <si>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</si>
  <si>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</si>
  <si>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</si>
  <si>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</si>
  <si>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</si>
  <si>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</si>
  <si>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</si>
  <si>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</si>
  <si>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</si>
  <si>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</si>
  <si>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</si>
  <si>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</si>
  <si>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</si>
  <si>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</si>
  <si>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</si>
  <si>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</si>
  <si>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</si>
  <si>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</si>
  <si>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</si>
  <si>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</si>
  <si>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</si>
  <si>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</si>
  <si>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</si>
  <si>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</si>
  <si>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</si>
  <si>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</si>
  <si>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</si>
  <si>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</si>
  <si>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</si>
  <si>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</si>
  <si>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</si>
  <si>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</si>
  <si>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</si>
  <si>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</si>
  <si>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</si>
  <si>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</si>
  <si>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</si>
  <si>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</si>
  <si>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</si>
  <si>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</si>
  <si>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</si>
  <si>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</si>
  <si>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</si>
  <si>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</si>
  <si>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</si>
  <si>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</si>
  <si>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</si>
  <si>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</si>
  <si>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</si>
  <si>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</si>
  <si>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</si>
  <si>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</si>
  <si>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</si>
  <si>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</si>
  <si>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</si>
  <si>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</si>
  <si>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</si>
  <si>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</si>
  <si>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</si>
  <si>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</si>
  <si>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</si>
  <si>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</si>
  <si>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</si>
  <si>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</si>
  <si>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</si>
  <si>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</si>
  <si>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</si>
  <si>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</si>
  <si>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</si>
  <si>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</si>
  <si>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</si>
  <si>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</si>
  <si>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</si>
  <si>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</si>
  <si>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</si>
  <si>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</si>
  <si>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</si>
  <si>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</si>
  <si>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</si>
  <si>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</si>
  <si>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</si>
  <si>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</si>
  <si>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</si>
  <si>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</si>
  <si>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</si>
  <si>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</si>
  <si>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</si>
  <si>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</si>
  <si>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</si>
  <si>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</si>
  <si>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</si>
  <si>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</si>
  <si>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</si>
  <si>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</si>
  <si>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</si>
  <si>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</si>
  <si>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</si>
  <si>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</si>
  <si>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</si>
  <si>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</si>
  <si>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</si>
  <si>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</si>
  <si>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</si>
  <si>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</si>
  <si>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</si>
  <si>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</si>
  <si>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</si>
  <si>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</si>
  <si>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</si>
  <si>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</si>
  <si>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</si>
  <si>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</si>
  <si>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</si>
  <si>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</si>
  <si>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</si>
  <si>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</si>
  <si>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</si>
  <si>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</si>
  <si>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</si>
  <si>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</si>
  <si>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</si>
  <si>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</si>
  <si>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</si>
  <si>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</si>
  <si>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</si>
  <si>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</si>
  <si>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</si>
  <si>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</si>
  <si>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</si>
  <si>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</si>
  <si>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</si>
  <si>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</si>
  <si>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</si>
  <si>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</si>
  <si>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</si>
  <si>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</si>
  <si>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</si>
  <si>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</si>
  <si>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</si>
  <si>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</si>
  <si>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</si>
  <si>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</si>
  <si>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</si>
  <si>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</si>
  <si>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</si>
  <si>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</si>
  <si>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</si>
  <si>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</si>
  <si>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</si>
  <si>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</si>
  <si>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</si>
  <si>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</si>
  <si>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</si>
  <si>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</si>
  <si>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</si>
  <si>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</si>
  <si>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</si>
  <si>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</si>
  <si>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</si>
  <si>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</si>
  <si>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</si>
  <si>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</si>
  <si>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</si>
  <si>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</si>
  <si>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</si>
  <si>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</si>
  <si>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</si>
  <si>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</si>
  <si>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</si>
  <si>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</si>
  <si>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</si>
  <si>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</si>
  <si>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</si>
  <si>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</si>
  <si>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</si>
  <si>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</si>
  <si>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</si>
  <si>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</si>
  <si>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</si>
  <si>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</si>
  <si>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</si>
  <si>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</si>
  <si>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</si>
  <si>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</si>
  <si>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</si>
  <si>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</si>
  <si>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</si>
  <si>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</si>
  <si>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</si>
  <si>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</si>
  <si>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</si>
  <si>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</si>
  <si>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</si>
  <si>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</si>
  <si>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</si>
  <si>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</si>
  <si>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</si>
  <si>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</si>
  <si>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</si>
  <si>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</si>
  <si>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</si>
  <si>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</si>
  <si>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</si>
  <si>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</si>
  <si>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</si>
  <si>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</si>
  <si>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</si>
  <si>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</si>
  <si>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</si>
  <si>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</si>
  <si>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</si>
  <si>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</si>
  <si>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</si>
  <si>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</si>
  <si>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</si>
  <si>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</si>
  <si>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</si>
  <si>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</si>
  <si>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</si>
  <si>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</si>
  <si>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</si>
  <si>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</si>
  <si>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</si>
  <si>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</si>
  <si>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</si>
  <si>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</si>
  <si>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</si>
  <si>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</si>
  <si>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</si>
  <si>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</si>
  <si>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</si>
  <si>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</si>
  <si>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</si>
  <si>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</si>
  <si>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</si>
  <si>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</si>
  <si>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</si>
  <si>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</si>
  <si>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</si>
  <si>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</si>
  <si>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</si>
  <si>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</si>
  <si>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</si>
  <si>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</si>
  <si>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</si>
  <si>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</si>
  <si>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</si>
  <si>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</si>
  <si>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</si>
  <si>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</si>
  <si>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</si>
  <si>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</si>
  <si>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</si>
  <si>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</si>
  <si>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</si>
  <si>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</si>
  <si>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</si>
  <si>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</si>
  <si>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</si>
  <si>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</si>
  <si>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</si>
  <si>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</si>
  <si>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</si>
  <si>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</si>
  <si>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</si>
  <si>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</si>
  <si>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</si>
  <si>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</si>
  <si>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</si>
  <si>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</si>
  <si>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</si>
  <si>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</si>
  <si>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</si>
  <si>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</si>
  <si>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</si>
  <si>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</si>
  <si>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</si>
  <si>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</si>
  <si>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</si>
  <si>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</si>
  <si>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</si>
  <si>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</si>
  <si>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</si>
  <si>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</si>
  <si>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</si>
  <si>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</si>
  <si>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</si>
  <si>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</si>
  <si>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</si>
  <si>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</si>
  <si>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</si>
  <si>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</si>
  <si>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</si>
  <si>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</si>
  <si>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</si>
  <si>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</si>
  <si>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</si>
  <si>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</si>
  <si>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</si>
  <si>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</si>
  <si>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</si>
  <si>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</si>
  <si>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</si>
  <si>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</si>
  <si>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</si>
  <si>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</si>
  <si>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</si>
  <si>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</si>
  <si>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</si>
  <si>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</si>
  <si>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</si>
  <si>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</si>
  <si>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</si>
  <si>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</si>
  <si>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</si>
  <si>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</si>
  <si>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</si>
  <si>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</si>
  <si>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</si>
  <si>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</si>
  <si>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</si>
  <si>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</si>
  <si>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</si>
  <si>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</si>
  <si>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</si>
  <si>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</si>
  <si>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</si>
  <si>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</si>
  <si>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</si>
  <si>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</si>
  <si>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</si>
  <si>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</si>
  <si>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</si>
  <si>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</si>
  <si>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</si>
  <si>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</si>
  <si>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</si>
  <si>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</si>
  <si>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</si>
  <si>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</si>
  <si>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</si>
  <si>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</si>
  <si>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</si>
  <si>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</si>
  <si>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</si>
  <si>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</si>
  <si>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</si>
  <si>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</si>
  <si>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</si>
  <si>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</si>
  <si>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</si>
  <si>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</si>
  <si>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</si>
  <si>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</si>
  <si>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</si>
  <si>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</si>
  <si>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</si>
  <si>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</si>
  <si>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</si>
  <si>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</si>
  <si>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</si>
  <si>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</si>
  <si>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</si>
  <si>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</si>
  <si>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</si>
  <si>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</si>
  <si>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</si>
  <si>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</si>
  <si>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</si>
  <si>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</si>
  <si>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</si>
  <si>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</si>
  <si>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</si>
  <si>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</si>
  <si>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</si>
  <si>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</si>
  <si>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</si>
  <si>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</si>
  <si>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</si>
  <si>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</si>
  <si>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</si>
  <si>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</si>
  <si>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</si>
  <si>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</si>
  <si>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</si>
  <si>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</si>
  <si>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</si>
  <si>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</si>
  <si>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</si>
  <si>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</si>
  <si>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</si>
  <si>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</si>
  <si>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</si>
  <si>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</si>
  <si>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</si>
  <si>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</si>
  <si>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</si>
  <si>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</si>
  <si>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</si>
  <si>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</si>
  <si>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</si>
  <si>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</si>
  <si>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</si>
  <si>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</si>
  <si>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</si>
  <si>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</si>
  <si>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</si>
  <si>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</si>
  <si>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</si>
  <si>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</si>
  <si>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</si>
  <si>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</si>
  <si>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</si>
  <si>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</si>
  <si>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</si>
  <si>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</si>
  <si>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</si>
  <si>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</si>
  <si>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</si>
  <si>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</si>
  <si>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</si>
  <si>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</si>
  <si>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</si>
  <si>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</si>
  <si>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</si>
  <si>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</si>
  <si>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</si>
  <si>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</si>
  <si>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</si>
  <si>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</si>
  <si>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</si>
  <si>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</si>
  <si>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</si>
  <si>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</si>
  <si>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</si>
  <si>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</si>
  <si>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</si>
  <si>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</si>
  <si>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</si>
  <si>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</si>
  <si>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</si>
  <si>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</si>
  <si>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</si>
  <si>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</si>
  <si>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</si>
  <si>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</si>
  <si>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</si>
  <si>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</si>
  <si>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</si>
  <si>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</si>
  <si>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</si>
  <si>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</si>
  <si>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</si>
  <si>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</si>
  <si>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</si>
  <si>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</si>
  <si>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</si>
  <si>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</si>
  <si>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</si>
  <si>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</si>
  <si>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</si>
  <si>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</si>
  <si>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</si>
  <si>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</si>
  <si>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</si>
  <si>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</si>
  <si>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</si>
  <si>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</si>
  <si>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</si>
  <si>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</si>
  <si>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</si>
  <si>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</si>
  <si>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</si>
  <si>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</si>
  <si>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</si>
  <si>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</si>
  <si>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</si>
  <si>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</si>
  <si>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</si>
  <si>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</si>
  <si>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</si>
  <si>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</si>
  <si>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</si>
  <si>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</si>
  <si>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</si>
  <si>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</si>
  <si>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</si>
  <si>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</si>
  <si>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</si>
  <si>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</si>
  <si>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</si>
  <si>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</si>
  <si>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</si>
  <si>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</si>
  <si>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</si>
  <si>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</si>
  <si>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</si>
  <si>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</si>
  <si>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</si>
  <si>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</si>
  <si>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</si>
  <si>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</si>
  <si>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</si>
  <si>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</si>
  <si>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</si>
  <si>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</si>
  <si>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</si>
  <si>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</si>
  <si>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</si>
  <si>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</si>
  <si>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</si>
  <si>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</si>
  <si>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</si>
  <si>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</si>
  <si>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</si>
  <si>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</si>
  <si>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</si>
  <si>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</si>
  <si>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</si>
  <si>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</si>
  <si>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</si>
  <si>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</si>
  <si>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</si>
  <si>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</si>
  <si>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</si>
  <si>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</si>
  <si>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</si>
  <si>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</si>
  <si>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</si>
  <si>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</si>
  <si>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</si>
  <si>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</si>
  <si>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</si>
  <si>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</si>
  <si>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</si>
  <si>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</si>
  <si>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</si>
  <si>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</si>
  <si>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</si>
  <si>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</si>
  <si>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</si>
  <si>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</si>
  <si>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</si>
  <si>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</si>
  <si>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</si>
  <si>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</si>
  <si>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</si>
  <si>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</si>
  <si>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</si>
  <si>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</si>
  <si>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</si>
  <si>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</si>
  <si>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</si>
  <si>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</si>
  <si>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</si>
  <si>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</si>
  <si>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</si>
  <si>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</si>
  <si>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</si>
  <si>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</si>
  <si>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</si>
  <si>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</si>
  <si>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</si>
  <si>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</si>
  <si>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</si>
  <si>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</si>
  <si>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</si>
  <si>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</si>
  <si>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</si>
  <si>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</si>
  <si>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</si>
  <si>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</si>
  <si>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</si>
  <si>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</si>
  <si>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</si>
  <si>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</si>
  <si>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</si>
  <si>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</si>
  <si>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</si>
  <si>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</si>
  <si>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</si>
  <si>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</si>
  <si>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</si>
  <si>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</si>
  <si>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</si>
  <si>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</si>
  <si>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</si>
  <si>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</si>
  <si>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</si>
  <si>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</si>
  <si>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</si>
  <si>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</si>
  <si>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</si>
  <si>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</si>
  <si>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</si>
  <si>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</si>
  <si>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</si>
  <si>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</si>
  <si>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</si>
  <si>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</si>
  <si>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</si>
  <si>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</si>
  <si>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</si>
  <si>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</si>
  <si>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</si>
  <si>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</si>
  <si>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</si>
  <si>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</si>
  <si>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</si>
  <si>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</si>
  <si>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</si>
  <si>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</si>
  <si>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</si>
  <si>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</si>
  <si>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</si>
  <si>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</si>
  <si>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</si>
  <si>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</si>
  <si>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</si>
  <si>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</si>
  <si>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</si>
  <si>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</si>
  <si>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</si>
  <si>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</si>
  <si>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</si>
  <si>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</si>
  <si>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</si>
  <si>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</si>
  <si>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</si>
  <si>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</si>
  <si>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</si>
  <si>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</si>
  <si>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</si>
  <si>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</si>
  <si>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</si>
  <si>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</si>
  <si>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</si>
  <si>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</si>
  <si>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</si>
  <si>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</si>
  <si>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</si>
  <si>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</si>
  <si>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</si>
  <si>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</si>
  <si>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</si>
  <si>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</si>
  <si>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</si>
  <si>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</si>
  <si>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</si>
  <si>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</si>
  <si>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</si>
  <si>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</si>
  <si>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</si>
  <si>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</si>
  <si>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</si>
  <si>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</si>
  <si>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</si>
  <si>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</si>
  <si>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</si>
  <si>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</si>
  <si>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</si>
  <si>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</si>
  <si>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</si>
  <si>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</si>
  <si>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</si>
  <si>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</si>
  <si>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</si>
  <si>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</si>
  <si>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</si>
  <si>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</si>
  <si>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</si>
  <si>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</si>
  <si>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</si>
  <si>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</si>
  <si>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</si>
  <si>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</si>
  <si>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</si>
  <si>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</si>
  <si>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</si>
  <si>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</si>
  <si>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</si>
  <si>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</si>
  <si>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</si>
  <si>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</si>
  <si>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</si>
  <si>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</si>
  <si>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</si>
  <si>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</si>
  <si>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</si>
  <si>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</si>
  <si>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</si>
  <si>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</si>
  <si>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</si>
  <si>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</si>
  <si>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</si>
  <si>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</si>
  <si>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</si>
  <si>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</si>
  <si>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</si>
  <si>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</si>
  <si>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</si>
  <si>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</si>
  <si>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</si>
  <si>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</si>
  <si>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</si>
  <si>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</si>
  <si>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</si>
  <si>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</si>
  <si>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</si>
  <si>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</si>
  <si>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</si>
  <si>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</si>
  <si>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</si>
  <si>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</si>
  <si>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</si>
  <si>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</si>
  <si>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</si>
  <si>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</si>
  <si>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</si>
  <si>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</si>
  <si>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</si>
  <si>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</si>
  <si>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</si>
  <si>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</si>
  <si>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</si>
  <si>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</si>
  <si>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</si>
  <si>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</si>
  <si>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</si>
  <si>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</si>
  <si>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</si>
  <si>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</si>
  <si>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</si>
  <si>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</si>
  <si>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</si>
  <si>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</si>
  <si>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</si>
  <si>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</si>
  <si>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</si>
  <si>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</si>
  <si>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</si>
  <si>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</si>
  <si>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</si>
  <si>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</si>
  <si>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</si>
  <si>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</si>
  <si>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</si>
  <si>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</si>
  <si>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</si>
  <si>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</si>
  <si>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</si>
  <si>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</si>
  <si>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</si>
  <si>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</si>
  <si>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</si>
  <si>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</si>
  <si>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</si>
  <si>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</si>
  <si>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</si>
  <si>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</si>
  <si>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</si>
  <si>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</si>
  <si>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</si>
  <si>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</si>
  <si>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</si>
  <si>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</si>
  <si>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</si>
  <si>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</si>
  <si>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</si>
  <si>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</si>
  <si>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</si>
  <si>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</si>
  <si>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</si>
  <si>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</si>
  <si>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</si>
  <si>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</si>
  <si>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</si>
  <si>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</si>
  <si>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</si>
  <si>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</si>
  <si>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</si>
  <si>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</si>
  <si>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</si>
  <si>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</si>
  <si>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</si>
  <si>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</si>
  <si>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</si>
  <si>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</si>
  <si>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</si>
  <si>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</si>
  <si>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</si>
  <si>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</si>
  <si>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</si>
  <si>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</si>
  <si>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</si>
  <si>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</si>
  <si>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</si>
  <si>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</si>
  <si>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</si>
  <si>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</si>
  <si>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</si>
  <si>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</si>
  <si>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</si>
  <si>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</si>
  <si>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</si>
  <si>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</si>
  <si>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</si>
  <si>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</si>
  <si>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</si>
  <si>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</si>
  <si>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</si>
  <si>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</si>
  <si>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</si>
  <si>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</si>
  <si>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</si>
  <si>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</si>
  <si>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</si>
  <si>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</si>
  <si>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</si>
  <si>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</si>
  <si>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</si>
  <si>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</si>
  <si>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</si>
  <si>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</si>
  <si>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</si>
  <si>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</si>
  <si>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</si>
  <si>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</si>
  <si>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</si>
  <si>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</si>
  <si>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</si>
  <si>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</si>
  <si>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</si>
  <si>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</si>
  <si>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</si>
  <si>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</si>
  <si>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</si>
  <si>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</si>
  <si>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</si>
  <si>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</si>
  <si>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</si>
  <si>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</si>
  <si>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</si>
  <si>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</si>
  <si>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</si>
  <si>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</si>
  <si>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</si>
  <si>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</si>
  <si>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</si>
  <si>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</si>
  <si>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</si>
  <si>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</si>
  <si>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</si>
  <si>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</si>
  <si>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</si>
  <si>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</si>
  <si>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</si>
  <si>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</si>
  <si>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</si>
  <si>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</si>
  <si>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</si>
  <si>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</si>
  <si>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</si>
  <si>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</si>
  <si>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</si>
  <si>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</si>
  <si>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</si>
  <si>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</si>
  <si>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</si>
  <si>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</si>
  <si>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</si>
  <si>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</si>
  <si>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</si>
  <si>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</si>
  <si>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</si>
  <si>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</si>
  <si>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</si>
  <si>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</si>
  <si>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</si>
  <si>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</si>
  <si>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</si>
  <si>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</si>
  <si>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</si>
  <si>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</si>
  <si>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</si>
  <si>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</si>
  <si>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</si>
  <si>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</si>
  <si>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</si>
  <si>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</si>
  <si>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</si>
  <si>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</si>
  <si>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</si>
  <si>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</si>
  <si>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</si>
  <si>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</si>
  <si>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</si>
  <si>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</si>
  <si>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</si>
  <si>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</si>
  <si>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</si>
  <si>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</si>
  <si>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</si>
  <si>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</si>
  <si>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</si>
  <si>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</si>
  <si>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</si>
  <si>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</si>
  <si>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</si>
  <si>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</si>
  <si>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</si>
  <si>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</si>
  <si>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</si>
  <si>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</si>
  <si>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</si>
  <si>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</si>
  <si>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</si>
  <si>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</si>
  <si>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</si>
  <si>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</si>
  <si>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</si>
  <si>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</si>
  <si>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</si>
  <si>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</si>
  <si>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</si>
  <si>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</si>
  <si>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</si>
  <si>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</si>
  <si>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</si>
  <si>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</si>
  <si>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</si>
  <si>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</si>
  <si>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</si>
  <si>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</si>
  <si>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</si>
  <si>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</si>
  <si>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</si>
  <si>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</si>
  <si>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</si>
  <si>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</si>
  <si>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</si>
  <si>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</si>
  <si>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</si>
  <si>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</si>
  <si>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</si>
  <si>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</si>
  <si>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</si>
  <si>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</si>
  <si>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</si>
  <si>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</si>
  <si>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</si>
  <si>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</si>
  <si>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</si>
  <si>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</si>
  <si>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</si>
  <si>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</si>
  <si>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</si>
  <si>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</si>
  <si>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</si>
  <si>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</si>
  <si>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</si>
  <si>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</si>
  <si>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</si>
  <si>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</si>
  <si>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</si>
  <si>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</si>
  <si>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</si>
  <si>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</si>
  <si>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</si>
  <si>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</si>
  <si>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</si>
  <si>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</si>
  <si>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</si>
  <si>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</si>
  <si>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</si>
  <si>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</si>
  <si>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</si>
  <si>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</si>
  <si>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</si>
  <si>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</si>
  <si>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</si>
  <si>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</si>
  <si>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</si>
  <si>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</si>
  <si>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</si>
  <si>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</si>
  <si>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</si>
  <si>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</si>
  <si>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</si>
  <si>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</si>
  <si>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</si>
  <si>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</si>
  <si>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</si>
  <si>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</si>
  <si>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</si>
  <si>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</si>
  <si>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</si>
  <si>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</si>
  <si>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</si>
  <si>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</si>
  <si>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</si>
  <si>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</si>
  <si>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</si>
  <si>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</si>
  <si>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</si>
  <si>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</si>
  <si>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</si>
  <si>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</si>
  <si>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</si>
  <si>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</si>
  <si>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</si>
  <si>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</si>
  <si>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</si>
  <si>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</si>
  <si>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</si>
  <si>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</si>
  <si>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</si>
  <si>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</si>
  <si>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</si>
  <si>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</si>
  <si>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</si>
  <si>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</si>
  <si>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</si>
  <si>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</si>
  <si>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</si>
  <si>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</si>
  <si>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</si>
  <si>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</si>
  <si>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</si>
  <si>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</si>
  <si>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</si>
  <si>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</si>
  <si>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</si>
  <si>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</si>
  <si>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</si>
  <si>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</si>
  <si>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</si>
  <si>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</si>
  <si>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</si>
  <si>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</si>
  <si>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</si>
  <si>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</si>
  <si>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</si>
  <si>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</si>
  <si>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</si>
  <si>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</si>
  <si>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</si>
  <si>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</si>
  <si>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</si>
  <si>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</si>
  <si>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</si>
  <si>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</si>
  <si>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</si>
  <si>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</si>
  <si>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</si>
  <si>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</si>
  <si>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</si>
  <si>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</si>
  <si>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</si>
  <si>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</si>
  <si>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</si>
  <si>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</si>
  <si>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</si>
  <si>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</si>
  <si>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</si>
  <si>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</si>
  <si>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</si>
  <si>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</si>
  <si>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</si>
  <si>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</si>
  <si>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</si>
  <si>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</si>
  <si>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</si>
  <si>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</si>
  <si>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</si>
  <si>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</si>
  <si>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</si>
  <si>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</si>
  <si>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</si>
  <si>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</si>
  <si>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</si>
  <si>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</si>
  <si>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</si>
  <si>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</si>
  <si>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</si>
  <si>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</si>
  <si>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</si>
  <si>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</si>
  <si>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</si>
  <si>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</si>
  <si>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</si>
  <si>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</si>
  <si>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</si>
  <si>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</si>
  <si>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</si>
  <si>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</si>
  <si>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</si>
  <si>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</si>
  <si>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</si>
  <si>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</si>
  <si>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</si>
  <si>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</si>
  <si>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</si>
  <si>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</si>
  <si>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</si>
  <si>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</si>
  <si>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</si>
  <si>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</si>
  <si>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</si>
  <si>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</si>
  <si>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</si>
  <si>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</si>
  <si>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</si>
  <si>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</si>
  <si>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</si>
  <si>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</si>
  <si>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</si>
  <si>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</si>
  <si>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</si>
  <si>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</si>
  <si>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</si>
  <si>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</si>
  <si>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</si>
  <si>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</si>
  <si>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</si>
  <si>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</si>
  <si>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</si>
  <si>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</si>
  <si>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</si>
  <si>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</si>
  <si>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</si>
  <si>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</si>
  <si>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</si>
  <si>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</si>
  <si>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</si>
  <si>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</si>
  <si>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</si>
  <si>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</si>
  <si>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</si>
  <si>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</si>
  <si>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</si>
  <si>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</si>
  <si>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</si>
  <si>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</si>
  <si>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</si>
  <si>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</si>
  <si>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</si>
  <si>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</si>
  <si>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</si>
  <si>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</si>
  <si>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</si>
  <si>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</si>
  <si>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</si>
  <si>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</si>
  <si>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</si>
  <si>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</si>
  <si>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</si>
  <si>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</si>
  <si>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</si>
  <si>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</si>
  <si>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</si>
  <si>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</si>
  <si>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</si>
  <si>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</si>
  <si>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</si>
  <si>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</si>
  <si>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</si>
  <si>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</si>
  <si>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</si>
  <si>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</si>
  <si>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</si>
  <si>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</si>
  <si>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</si>
  <si>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</si>
  <si>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</si>
  <si>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</si>
  <si>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</si>
  <si>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</si>
  <si>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</si>
  <si>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</si>
  <si>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</si>
  <si>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</si>
  <si>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</si>
  <si>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</si>
  <si>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</si>
  <si>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</si>
  <si>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</si>
  <si>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</si>
  <si>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</si>
  <si>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</si>
  <si>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</si>
  <si>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</si>
  <si>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</si>
  <si>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</si>
  <si>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</si>
  <si>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</si>
  <si>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</si>
  <si>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</si>
  <si>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</si>
  <si>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</si>
  <si>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</si>
  <si>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</si>
  <si>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</si>
  <si>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</si>
  <si>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</si>
  <si>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</si>
  <si>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</si>
  <si>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</si>
  <si>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</si>
  <si>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</si>
  <si>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</si>
  <si>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</si>
  <si>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</si>
  <si>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</si>
  <si>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</si>
  <si>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</si>
  <si>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</si>
  <si>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</si>
  <si>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</si>
  <si>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</si>
  <si>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</si>
  <si>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</si>
  <si>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</si>
  <si>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</si>
  <si>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</si>
  <si>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</si>
  <si>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</si>
  <si>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</si>
  <si>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</si>
  <si>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</si>
  <si>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</si>
  <si>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</si>
  <si>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</si>
  <si>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</si>
  <si>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</si>
  <si>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</si>
  <si>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</si>
  <si>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</si>
  <si>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</si>
  <si>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</si>
  <si>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</si>
  <si>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</si>
  <si>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</si>
  <si>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</si>
  <si>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</si>
  <si>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</si>
  <si>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</si>
  <si>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</si>
  <si>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</si>
  <si>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</si>
  <si>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</si>
  <si>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</si>
  <si>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</si>
  <si>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</si>
  <si>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</si>
  <si>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</si>
  <si>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</si>
  <si>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</si>
  <si>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</si>
  <si>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</si>
  <si>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</si>
  <si>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</si>
  <si>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</si>
  <si>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</si>
  <si>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</si>
  <si>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</si>
  <si>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</si>
  <si>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</si>
  <si>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</si>
  <si>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</si>
  <si>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</si>
  <si>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</si>
  <si>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</si>
  <si>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</si>
  <si>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</si>
  <si>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</si>
  <si>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</si>
  <si>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</si>
  <si>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</si>
  <si>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</si>
  <si>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</si>
  <si>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</si>
  <si>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</si>
  <si>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</si>
  <si>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</si>
  <si>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</si>
  <si>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</si>
  <si>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</si>
  <si>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</si>
  <si>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</si>
  <si>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</si>
  <si>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</si>
  <si>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</si>
  <si>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</si>
  <si>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</si>
  <si>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</si>
  <si>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</si>
  <si>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</si>
  <si>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</si>
  <si>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</si>
  <si>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</si>
  <si>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</si>
  <si>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</si>
  <si>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</si>
  <si>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</si>
  <si>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</si>
  <si>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</si>
  <si>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</si>
  <si>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</si>
  <si>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</si>
  <si>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</si>
  <si>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</si>
  <si>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</si>
  <si>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</si>
  <si>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</si>
  <si>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</si>
  <si>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</si>
  <si>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</si>
  <si>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</si>
  <si>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</si>
  <si>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</si>
  <si>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</si>
  <si>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</si>
  <si>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</si>
  <si>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</si>
  <si>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</si>
  <si>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</si>
  <si>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</si>
  <si>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</si>
  <si>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</si>
  <si>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</si>
  <si>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</si>
  <si>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</si>
  <si>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</si>
  <si>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</si>
  <si>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</si>
  <si>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</si>
  <si>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</si>
  <si>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</si>
  <si>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</si>
  <si>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</si>
  <si>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</si>
  <si>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</si>
  <si>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</si>
  <si>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</si>
  <si>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</si>
  <si>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</si>
  <si>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</si>
  <si>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</si>
  <si>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</si>
  <si>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</si>
  <si>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</si>
  <si>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</si>
  <si>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</si>
  <si>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</si>
  <si>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</si>
  <si>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</si>
  <si>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</si>
  <si>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</si>
  <si>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</si>
  <si>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</si>
  <si>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</si>
  <si>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</si>
  <si>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</si>
  <si>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</si>
  <si>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</si>
  <si>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</si>
  <si>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</si>
  <si>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</si>
  <si>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</si>
  <si>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</si>
  <si>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</si>
  <si>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</si>
  <si>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</si>
  <si>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</si>
  <si>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</si>
  <si>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</si>
  <si>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</si>
  <si>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</si>
  <si>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</si>
  <si>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</si>
  <si>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</si>
  <si>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</si>
  <si>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</si>
  <si>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</si>
  <si>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</si>
  <si>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</si>
  <si>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</si>
  <si>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</si>
  <si>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</si>
  <si>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</si>
  <si>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</si>
  <si>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</si>
  <si>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</si>
  <si>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</si>
  <si>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</si>
  <si>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</si>
  <si>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</si>
  <si>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</si>
  <si>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</si>
  <si>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</si>
  <si>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</si>
  <si>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</si>
  <si>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</si>
  <si>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</si>
  <si>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</si>
  <si>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</si>
  <si>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</si>
  <si>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</si>
  <si>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</si>
  <si>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</si>
  <si>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</si>
  <si>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</si>
  <si>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</si>
  <si>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</si>
  <si>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</si>
  <si>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</si>
  <si>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</si>
  <si>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</si>
  <si>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</si>
  <si>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</si>
  <si>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</si>
  <si>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</si>
  <si>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</si>
  <si>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</si>
  <si>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</si>
  <si>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</si>
  <si>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</si>
  <si>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</si>
  <si>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</si>
  <si>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</si>
  <si>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</si>
  <si>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</si>
  <si>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</si>
  <si>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</si>
  <si>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</si>
  <si>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</si>
  <si>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</si>
  <si>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</si>
  <si>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</si>
  <si>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</si>
  <si>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</si>
  <si>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</si>
  <si>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</si>
  <si>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</si>
  <si>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</si>
  <si>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</si>
  <si>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</si>
  <si>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</si>
  <si>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</si>
  <si>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</si>
  <si>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</si>
  <si>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</si>
  <si>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</si>
  <si>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</si>
  <si>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</si>
  <si>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</si>
  <si>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</si>
  <si>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</si>
  <si>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</si>
  <si>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</si>
  <si>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</si>
  <si>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</si>
  <si>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</si>
  <si>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</si>
  <si>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</si>
  <si>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</si>
  <si>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</si>
  <si>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</si>
  <si>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</si>
  <si>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</si>
  <si>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</si>
  <si>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</si>
  <si>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</si>
  <si>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</si>
  <si>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</si>
  <si>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</si>
  <si>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</si>
  <si>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</si>
  <si>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</si>
  <si>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</si>
  <si>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</si>
  <si>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</si>
  <si>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</si>
  <si>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</si>
  <si>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</si>
  <si>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</si>
  <si>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</si>
  <si>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</si>
  <si>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</si>
  <si>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</si>
  <si>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</si>
  <si>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</si>
  <si>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</si>
  <si>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</si>
  <si>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</si>
  <si>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</si>
  <si>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</si>
  <si>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</si>
  <si>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</si>
  <si>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</si>
  <si>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</si>
  <si>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</si>
  <si>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</si>
  <si>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</si>
  <si>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</si>
  <si>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</si>
  <si>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</si>
  <si>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</si>
  <si>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</si>
  <si>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</si>
  <si>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</si>
  <si>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</si>
  <si>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</si>
  <si>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</si>
  <si>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</si>
  <si>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</si>
  <si>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</si>
  <si>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</si>
  <si>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</si>
  <si>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</si>
  <si>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</si>
  <si>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</si>
  <si>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</si>
  <si>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</si>
  <si>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</si>
  <si>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</si>
  <si>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</si>
  <si>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</si>
  <si>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</si>
  <si>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</si>
  <si>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</si>
  <si>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</si>
  <si>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</si>
  <si>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</si>
  <si>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</si>
  <si>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</si>
  <si>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</si>
  <si>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</si>
  <si>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</si>
  <si>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</si>
  <si>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</si>
  <si>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</si>
  <si>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</si>
  <si>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</si>
  <si>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</si>
  <si>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</si>
  <si>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</si>
  <si>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</si>
  <si>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</si>
  <si>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</si>
  <si>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</si>
  <si>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</si>
  <si>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</si>
  <si>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</si>
  <si>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</si>
  <si>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</si>
  <si>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</si>
  <si>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</si>
  <si>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</si>
  <si>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</si>
  <si>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</si>
  <si>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</si>
  <si>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</si>
  <si>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</si>
  <si>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</si>
  <si>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</si>
  <si>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</si>
  <si>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</si>
  <si>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</si>
  <si>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</si>
  <si>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</si>
  <si>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</si>
  <si>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</si>
  <si>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</si>
  <si>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</si>
  <si>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</si>
  <si>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</si>
  <si>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</si>
  <si>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</si>
  <si>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</si>
  <si>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</si>
  <si>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</si>
  <si>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</si>
  <si>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</si>
  <si>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</si>
  <si>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</si>
  <si>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</si>
  <si>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</si>
  <si>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</si>
  <si>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</si>
  <si>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</si>
  <si>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</si>
  <si>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</si>
  <si>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</si>
  <si>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</si>
  <si>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</si>
  <si>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</si>
  <si>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</si>
  <si>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</si>
  <si>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</si>
  <si>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</si>
  <si>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</si>
  <si>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</si>
  <si>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</si>
  <si>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</si>
  <si>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</si>
  <si>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</si>
  <si>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</si>
  <si>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</si>
  <si>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</si>
  <si>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</si>
  <si>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</si>
  <si>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</si>
  <si>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</si>
  <si>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</si>
  <si>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</si>
  <si>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</si>
  <si>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</si>
  <si>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</si>
  <si>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</si>
  <si>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</si>
  <si>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</si>
  <si>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</si>
  <si>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</si>
  <si>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</si>
  <si>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</si>
  <si>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</si>
  <si>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</si>
  <si>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</si>
  <si>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</si>
  <si>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</si>
  <si>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</si>
  <si>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</si>
  <si>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</si>
  <si>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</si>
  <si>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</si>
  <si>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</si>
  <si>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</si>
  <si>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</si>
  <si>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</si>
  <si>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</si>
  <si>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</si>
  <si>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</si>
  <si>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</si>
  <si>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</si>
  <si>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</si>
  <si>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</si>
  <si>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</si>
  <si>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</si>
  <si>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</si>
  <si>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</si>
  <si>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</si>
  <si>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</si>
  <si>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</si>
  <si>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</si>
  <si>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</si>
  <si>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</si>
  <si>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</si>
  <si>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</si>
  <si>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</si>
  <si>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</si>
  <si>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</si>
  <si>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</si>
  <si>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</si>
  <si>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</si>
  <si>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</si>
  <si>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</si>
  <si>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</si>
  <si>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</si>
  <si>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</si>
  <si>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</si>
  <si>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</si>
  <si>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</si>
  <si>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</si>
  <si>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</si>
  <si>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</si>
  <si>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</si>
  <si>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</si>
  <si>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</si>
  <si>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</si>
  <si>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</si>
  <si>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</si>
  <si>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</si>
  <si>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</si>
  <si>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</si>
  <si>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</si>
  <si>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</si>
  <si>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</si>
  <si>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</si>
  <si>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</si>
  <si>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</si>
  <si>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</si>
  <si>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</si>
  <si>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</si>
  <si>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</si>
  <si>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</si>
  <si>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</si>
  <si>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</si>
  <si>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</si>
  <si>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</si>
  <si>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</si>
  <si>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</si>
  <si>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</si>
  <si>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</si>
  <si>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</si>
  <si>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</si>
  <si>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</si>
  <si>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</si>
  <si>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</si>
  <si>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</si>
  <si>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</si>
  <si>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</si>
  <si>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</si>
  <si>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</si>
  <si>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</si>
  <si>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</si>
  <si>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</si>
  <si>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</si>
  <si>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</si>
  <si>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</si>
  <si>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</si>
  <si>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</si>
  <si>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</si>
  <si>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</si>
  <si>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</si>
  <si>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</si>
  <si>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</si>
  <si>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</si>
  <si>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</si>
  <si>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</si>
  <si>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</si>
  <si>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</si>
  <si>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</si>
  <si>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</si>
  <si>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</si>
  <si>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</si>
  <si>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</si>
  <si>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</si>
  <si>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</si>
  <si>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</si>
  <si>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</si>
  <si>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</si>
  <si>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</si>
  <si>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</si>
  <si>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</si>
  <si>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</si>
  <si>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</si>
  <si>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</si>
  <si>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</si>
  <si>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</si>
  <si>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</si>
  <si>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</si>
  <si>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</si>
  <si>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</si>
  <si>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</si>
  <si>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</si>
  <si>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</si>
  <si>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</si>
  <si>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</si>
  <si>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</si>
  <si>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</si>
  <si>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</si>
  <si>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</si>
  <si>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</si>
  <si>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</si>
  <si>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</si>
  <si>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</si>
  <si>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</si>
  <si>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</si>
  <si>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</si>
  <si>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</si>
  <si>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</si>
  <si>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</si>
  <si>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</si>
  <si>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</si>
  <si>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</si>
  <si>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</si>
  <si>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</si>
  <si>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</si>
  <si>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</si>
  <si>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</si>
  <si>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</si>
  <si>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</si>
  <si>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</si>
  <si>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</si>
  <si>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</si>
  <si>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</si>
  <si>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</si>
  <si>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</si>
  <si>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</si>
  <si>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</si>
  <si>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</si>
  <si>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</si>
  <si>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</si>
  <si>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</si>
  <si>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</si>
  <si>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</si>
  <si>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</si>
  <si>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</si>
  <si>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</si>
  <si>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</si>
  <si>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</si>
  <si>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</si>
  <si>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</si>
  <si>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</si>
  <si>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</si>
  <si>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</si>
  <si>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</si>
  <si>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</si>
  <si>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</si>
  <si>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</si>
  <si>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</si>
  <si>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</si>
  <si>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</si>
  <si>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</si>
  <si>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</si>
  <si>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</si>
  <si>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</si>
  <si>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</si>
  <si>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</si>
  <si>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</si>
  <si>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</si>
  <si>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</si>
  <si>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</si>
  <si>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</si>
  <si>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</si>
  <si>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</si>
  <si>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</si>
  <si>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</si>
  <si>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</si>
  <si>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</si>
  <si>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</si>
  <si>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</si>
  <si>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</si>
  <si>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</si>
  <si>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</si>
  <si>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</si>
  <si>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</si>
  <si>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</si>
  <si>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</si>
  <si>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</si>
  <si>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</si>
  <si>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</si>
  <si>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</si>
  <si>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</si>
  <si>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</si>
  <si>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</si>
  <si>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</si>
  <si>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</si>
  <si>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</si>
  <si>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</si>
  <si>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</si>
  <si>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</si>
  <si>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</si>
  <si>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</si>
  <si>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</si>
  <si>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</si>
  <si>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</si>
  <si>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</si>
  <si>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</si>
  <si>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</si>
  <si>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</si>
  <si>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</si>
  <si>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</si>
  <si>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</si>
  <si>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</si>
  <si>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</si>
  <si>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</si>
  <si>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</si>
  <si>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</si>
  <si>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</si>
  <si>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</si>
  <si>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</si>
  <si>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</si>
  <si>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</si>
  <si>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</si>
  <si>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</si>
  <si>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</si>
  <si>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</si>
  <si>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</si>
  <si>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</si>
  <si>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</si>
  <si>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</si>
  <si>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</si>
  <si>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</si>
  <si>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</si>
  <si>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</si>
  <si>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</si>
  <si>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</si>
  <si>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</si>
  <si>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</si>
  <si>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</si>
  <si>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</si>
  <si>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</si>
  <si>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</si>
  <si>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</si>
  <si>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</si>
  <si>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</si>
  <si>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</si>
  <si>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</si>
  <si>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</si>
  <si>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</si>
  <si>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</si>
  <si>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</si>
  <si>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</si>
  <si>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</si>
  <si>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</si>
  <si>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</si>
  <si>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</si>
  <si>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</si>
  <si>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</si>
  <si>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</si>
  <si>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</si>
  <si>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</si>
  <si>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</si>
  <si>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</si>
  <si>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</si>
  <si>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</si>
  <si>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</si>
  <si>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</si>
  <si>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</si>
  <si>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</si>
  <si>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</si>
  <si>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</si>
  <si>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</si>
  <si>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</si>
  <si>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</si>
  <si>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</si>
  <si>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</si>
  <si>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</si>
  <si>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</si>
  <si>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</si>
  <si>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</si>
  <si>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</si>
  <si>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</si>
  <si>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</si>
  <si>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</si>
  <si>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</si>
  <si>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</si>
  <si>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</si>
  <si>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</si>
  <si>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</si>
  <si>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</si>
  <si>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</si>
  <si>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</si>
  <si>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</si>
  <si>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</si>
  <si>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</si>
  <si>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</si>
  <si>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</si>
  <si>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</si>
  <si>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</si>
  <si>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</si>
  <si>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</si>
  <si>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</si>
  <si>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</si>
  <si>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</si>
  <si>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</si>
  <si>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</si>
  <si>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</si>
  <si>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</si>
  <si>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</si>
  <si>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</si>
  <si>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</si>
  <si>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</si>
  <si>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</si>
  <si>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</si>
  <si>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</si>
  <si>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</si>
  <si>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</si>
  <si>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</si>
  <si>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</si>
  <si>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</si>
  <si>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</si>
  <si>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</si>
  <si>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</si>
  <si>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</si>
  <si>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</si>
  <si>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</si>
  <si>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</si>
  <si>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</si>
  <si>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</si>
  <si>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</si>
  <si>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</si>
  <si>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</si>
  <si>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</si>
  <si>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</si>
  <si>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</si>
  <si>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</si>
  <si>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</si>
  <si>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</si>
  <si>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</si>
  <si>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</si>
  <si>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</si>
  <si>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</si>
  <si>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</si>
  <si>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</si>
  <si>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</si>
  <si>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</si>
  <si>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</si>
  <si>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</si>
  <si>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</si>
  <si>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</si>
  <si>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</si>
  <si>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</si>
  <si>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</si>
  <si>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</si>
  <si>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</si>
  <si>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</si>
  <si>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</si>
  <si>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</si>
  <si>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</si>
  <si>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</si>
  <si>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</si>
  <si>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</si>
  <si>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</si>
  <si>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</si>
  <si>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</si>
  <si>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</si>
  <si>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</si>
  <si>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</si>
  <si>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</si>
  <si>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</si>
  <si>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</si>
  <si>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</si>
  <si>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</si>
  <si>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</si>
  <si>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</si>
  <si>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</si>
  <si>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</si>
  <si>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</si>
  <si>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</si>
  <si>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</si>
  <si>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</si>
  <si>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</si>
  <si>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</si>
  <si>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</si>
  <si>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</si>
  <si>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</si>
  <si>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</si>
  <si>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</si>
  <si>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</si>
  <si>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</si>
  <si>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</si>
  <si>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</si>
  <si>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</si>
  <si>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</si>
  <si>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</si>
  <si>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</si>
  <si>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</si>
  <si>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</si>
  <si>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</si>
  <si>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</si>
  <si>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</si>
  <si>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</si>
  <si>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</si>
  <si>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</si>
  <si>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</si>
  <si>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</si>
  <si>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</si>
  <si>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</si>
  <si>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</si>
  <si>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</si>
  <si>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</si>
  <si>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</si>
  <si>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</si>
  <si>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</si>
  <si>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</si>
  <si>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</si>
  <si>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</si>
  <si>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</si>
  <si>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</si>
  <si>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</si>
  <si>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</si>
  <si>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</si>
  <si>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</si>
  <si>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</si>
  <si>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</si>
  <si>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</si>
  <si>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</si>
  <si>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</si>
  <si>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</si>
  <si>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</si>
  <si>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</si>
  <si>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</si>
  <si>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</si>
  <si>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</si>
  <si>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</si>
  <si>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</si>
  <si>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</si>
  <si>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</si>
  <si>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</si>
  <si>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</si>
  <si>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</si>
  <si>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</si>
  <si>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</si>
  <si>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</si>
  <si>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</si>
  <si>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</si>
  <si>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</si>
  <si>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</si>
  <si>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</si>
  <si>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</si>
  <si>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</si>
  <si>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</si>
  <si>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</si>
  <si>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</si>
  <si>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</si>
  <si>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</si>
  <si>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</si>
  <si>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</si>
  <si>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</si>
  <si>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</si>
  <si>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</si>
  <si>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</si>
  <si>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</si>
  <si>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</si>
  <si>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</si>
  <si>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</si>
  <si>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</si>
  <si>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</si>
  <si>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</si>
  <si>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</si>
  <si>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</si>
  <si>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</si>
  <si>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</si>
  <si>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</si>
  <si>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</si>
  <si>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</si>
  <si>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</si>
  <si>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</si>
  <si>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</si>
  <si>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</si>
  <si>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</si>
  <si>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</si>
  <si>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</si>
  <si>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</si>
  <si>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</si>
  <si>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</si>
  <si>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</si>
  <si>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</si>
  <si>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</si>
  <si>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</si>
  <si>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</si>
  <si>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</si>
  <si>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</si>
  <si>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</si>
  <si>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</si>
  <si>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</si>
  <si>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</si>
  <si>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</si>
  <si>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</si>
  <si>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</si>
  <si>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</si>
  <si>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</si>
  <si>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</si>
  <si>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</si>
  <si>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</si>
  <si>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</si>
  <si>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</si>
  <si>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</si>
  <si>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</si>
  <si>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</si>
  <si>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</si>
  <si>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</si>
  <si>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</si>
  <si>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</si>
  <si>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</si>
  <si>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</si>
  <si>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</si>
  <si>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</si>
  <si>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</si>
  <si>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</si>
  <si>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</si>
  <si>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</si>
  <si>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</si>
  <si>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</si>
  <si>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</si>
  <si>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</si>
  <si>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</si>
  <si>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</si>
  <si>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</si>
  <si>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</si>
  <si>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</si>
  <si>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</si>
  <si>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</si>
  <si>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</si>
  <si>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</si>
  <si>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</si>
  <si>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</si>
  <si>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</si>
  <si>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</si>
  <si>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</si>
  <si>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</si>
  <si>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</si>
  <si>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</si>
  <si>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</si>
  <si>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</si>
  <si>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</si>
  <si>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</si>
  <si>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</si>
  <si>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</si>
  <si>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</si>
  <si>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</si>
  <si>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</si>
  <si>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</si>
  <si>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</si>
  <si>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</si>
  <si>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</si>
  <si>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</si>
  <si>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</si>
  <si>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</si>
  <si>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</si>
  <si>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</si>
  <si>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</si>
  <si>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</si>
  <si>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</si>
  <si>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</si>
  <si>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</si>
  <si>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</si>
  <si>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</si>
  <si>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</si>
  <si>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</si>
  <si>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</si>
  <si>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</si>
  <si>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</si>
  <si>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</si>
  <si>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</si>
  <si>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</si>
  <si>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</si>
  <si>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</si>
  <si>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</si>
  <si>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</si>
  <si>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</si>
  <si>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</si>
  <si>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</si>
  <si>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</si>
  <si>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</si>
  <si>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</si>
  <si>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</si>
  <si>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</si>
  <si>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</si>
  <si>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</si>
  <si>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</si>
  <si>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</si>
  <si>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</si>
  <si>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</si>
  <si>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</si>
  <si>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</si>
  <si>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</si>
  <si>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</si>
  <si>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</si>
  <si>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</si>
  <si>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</si>
  <si>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</si>
  <si>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</si>
  <si>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</si>
  <si>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</si>
  <si>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</si>
  <si>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</si>
  <si>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</si>
  <si>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</si>
  <si>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</si>
  <si>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</si>
  <si>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</si>
  <si>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</si>
  <si>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</si>
  <si>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</si>
  <si>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</si>
  <si>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</si>
  <si>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</si>
  <si>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</si>
  <si>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</si>
  <si>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</si>
  <si>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</si>
  <si>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</si>
  <si>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</si>
  <si>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</si>
  <si>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</si>
  <si>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</si>
  <si>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</si>
  <si>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</si>
  <si>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</si>
  <si>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</si>
  <si>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</si>
  <si>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</si>
  <si>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</si>
  <si>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</si>
  <si>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</si>
  <si>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</si>
  <si>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</si>
  <si>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</si>
  <si>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</si>
  <si>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</si>
  <si>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</si>
  <si>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</si>
  <si>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</si>
  <si>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</si>
  <si>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</si>
  <si>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</si>
  <si>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</si>
  <si>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</si>
  <si>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</si>
  <si>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</si>
  <si>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</si>
  <si>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</si>
  <si>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</si>
  <si>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</si>
  <si>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</si>
  <si>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</si>
  <si>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</si>
  <si>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</si>
  <si>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</si>
  <si>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</si>
  <si>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</si>
  <si>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</si>
  <si>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</si>
  <si>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</si>
  <si>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</si>
  <si>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</si>
  <si>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</si>
  <si>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</si>
  <si>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</si>
  <si>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</si>
  <si>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</si>
  <si>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</si>
  <si>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</si>
  <si>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</si>
  <si>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</si>
  <si>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</si>
  <si>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</si>
  <si>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</si>
  <si>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</si>
  <si>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</si>
  <si>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</si>
  <si>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</si>
  <si>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</si>
  <si>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</si>
  <si>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</si>
  <si>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</si>
  <si>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</si>
  <si>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</si>
  <si>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</si>
  <si>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</si>
  <si>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</si>
  <si>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</si>
  <si>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</si>
  <si>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</si>
  <si>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</si>
  <si>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</si>
  <si>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</si>
  <si>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</si>
  <si>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</si>
  <si>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</si>
  <si>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</si>
  <si>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</si>
  <si>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</si>
  <si>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</si>
  <si>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</si>
  <si>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</si>
  <si>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</si>
  <si>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</si>
  <si>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</si>
  <si>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</si>
  <si>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</si>
  <si>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</si>
  <si>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</si>
  <si>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</si>
  <si>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</si>
  <si>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</si>
  <si>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</si>
  <si>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</si>
  <si>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</si>
  <si>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</si>
  <si>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</si>
  <si>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</si>
  <si>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</si>
  <si>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</si>
  <si>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</si>
  <si>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</si>
  <si>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</si>
  <si>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</si>
  <si>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</si>
  <si>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</si>
  <si>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</si>
  <si>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</si>
  <si>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</si>
  <si>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</si>
  <si>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</si>
  <si>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</si>
  <si>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</si>
  <si>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</si>
  <si>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</si>
  <si>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</si>
  <si>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</si>
  <si>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</si>
  <si>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</si>
  <si>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</si>
  <si>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</si>
  <si>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</si>
  <si>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</si>
  <si>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</si>
  <si>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</si>
  <si>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</si>
  <si>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</si>
  <si>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</si>
  <si>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</si>
  <si>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</si>
  <si>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</si>
  <si>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</si>
  <si>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</si>
  <si>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</si>
  <si>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</si>
  <si>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</si>
  <si>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</si>
  <si>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</si>
  <si>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</si>
  <si>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</si>
  <si>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</si>
  <si>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</si>
  <si>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</si>
  <si>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</si>
  <si>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</si>
  <si>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</si>
  <si>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</si>
  <si>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</si>
  <si>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</si>
  <si>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</si>
  <si>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</si>
  <si>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</si>
  <si>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</si>
  <si>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</si>
  <si>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</si>
  <si>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</si>
  <si>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</si>
  <si>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</si>
  <si>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</si>
  <si>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</si>
  <si>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</si>
  <si>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</si>
  <si>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</si>
  <si>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</si>
  <si>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</si>
  <si>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</si>
  <si>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</si>
  <si>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</si>
  <si>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</si>
  <si>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</si>
  <si>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</si>
  <si>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</si>
  <si>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</si>
  <si>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</si>
  <si>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</si>
  <si>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</si>
  <si>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</si>
  <si>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</si>
  <si>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</si>
  <si>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</si>
  <si>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</si>
  <si>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</si>
  <si>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</si>
  <si>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</si>
  <si>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</si>
  <si>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</si>
  <si>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</si>
  <si>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</si>
  <si>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</si>
  <si>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</si>
  <si>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</si>
  <si>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</si>
  <si>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</si>
  <si>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</si>
  <si>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</si>
  <si>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</si>
  <si>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</si>
  <si>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</si>
  <si>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</si>
  <si>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</si>
  <si>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</si>
  <si>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</si>
  <si>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</si>
  <si>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</si>
  <si>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</si>
  <si>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</si>
  <si>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</si>
  <si>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</si>
  <si>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</si>
  <si>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</si>
  <si>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</si>
  <si>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</si>
  <si>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</si>
  <si>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</si>
  <si>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</si>
  <si>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</si>
  <si>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</si>
  <si>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</si>
  <si>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</si>
  <si>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</si>
  <si>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</si>
  <si>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</si>
  <si>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</si>
  <si>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</si>
  <si>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</si>
  <si>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</si>
  <si>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</si>
  <si>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</si>
  <si>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</si>
  <si>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</si>
  <si>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</si>
  <si>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</si>
  <si>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</si>
  <si>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</si>
  <si>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</si>
  <si>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</si>
  <si>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</si>
  <si>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</si>
  <si>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</si>
  <si>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</si>
  <si>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</si>
  <si>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</si>
  <si>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</si>
  <si>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</si>
  <si>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</si>
  <si>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</si>
  <si>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</si>
  <si>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</si>
  <si>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</si>
  <si>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</si>
  <si>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</si>
  <si>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</si>
  <si>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</si>
  <si>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</si>
  <si>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</si>
  <si>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</si>
  <si>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</si>
  <si>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</si>
  <si>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</si>
  <si>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</si>
  <si>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</si>
  <si>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</si>
  <si>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</si>
  <si>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</si>
  <si>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</si>
  <si>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</si>
  <si>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</si>
  <si>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</si>
  <si>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</si>
  <si>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</si>
  <si>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</si>
  <si>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</si>
  <si>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</si>
  <si>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</si>
  <si>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</si>
  <si>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</si>
  <si>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</si>
  <si>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</si>
  <si>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</si>
  <si>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</si>
  <si>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</si>
  <si>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</si>
  <si>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</si>
  <si>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</si>
  <si>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</si>
  <si>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</si>
  <si>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</si>
  <si>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</si>
  <si>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</si>
  <si>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</si>
  <si>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</si>
  <si>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</si>
  <si>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</si>
  <si>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</si>
  <si>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</si>
  <si>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</si>
  <si>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</si>
  <si>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</si>
  <si>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</si>
  <si>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</si>
  <si>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</si>
  <si>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</si>
  <si>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</si>
  <si>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</si>
  <si>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</si>
  <si>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</si>
  <si>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</si>
  <si>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</si>
  <si>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</si>
  <si>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</si>
  <si>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</si>
  <si>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</si>
  <si>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</si>
  <si>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</si>
  <si>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</si>
  <si>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</si>
  <si>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</si>
  <si>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</si>
  <si>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</si>
  <si>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</si>
  <si>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</si>
  <si>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</si>
  <si>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</si>
  <si>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</si>
  <si>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</si>
  <si>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</si>
  <si>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</si>
  <si>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</si>
  <si>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</si>
  <si>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</si>
  <si>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</si>
  <si>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</si>
  <si>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</si>
  <si>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</si>
  <si>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</si>
  <si>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</si>
  <si>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</si>
  <si>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</si>
  <si>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</si>
  <si>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</si>
  <si>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</si>
  <si>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</si>
  <si>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</si>
  <si>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</si>
  <si>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</si>
  <si>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</si>
  <si>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</si>
  <si>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</si>
  <si>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</si>
  <si>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</si>
  <si>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</si>
  <si>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</si>
  <si>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</si>
  <si>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</si>
  <si>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</si>
  <si>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</si>
  <si>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</si>
  <si>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</si>
  <si>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</si>
  <si>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</si>
  <si>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</si>
  <si>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</si>
  <si>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</si>
  <si>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</si>
  <si>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</si>
  <si>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</si>
  <si>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</si>
  <si>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</si>
  <si>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</si>
  <si>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</si>
  <si>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</si>
  <si>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</si>
  <si>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</si>
  <si>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</si>
  <si>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</si>
  <si>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</si>
  <si>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</si>
  <si>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</si>
  <si>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</si>
  <si>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</si>
  <si>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</si>
  <si>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</si>
  <si>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</si>
  <si>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</si>
  <si>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</si>
  <si>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</si>
  <si>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</si>
  <si>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</si>
  <si>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</si>
  <si>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</si>
  <si>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</si>
  <si>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</si>
  <si>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</si>
  <si>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</si>
  <si>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</si>
  <si>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</si>
  <si>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</si>
  <si>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</si>
  <si>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</si>
  <si>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</si>
  <si>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</si>
  <si>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</si>
  <si>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</si>
  <si>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</si>
  <si>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</si>
  <si>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</si>
  <si>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</si>
  <si>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</si>
  <si>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</si>
  <si>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</si>
  <si>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</si>
  <si>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</si>
  <si>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</si>
  <si>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</si>
  <si>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</si>
  <si>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</si>
  <si>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</si>
  <si>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</si>
  <si>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</si>
  <si>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</si>
  <si>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</si>
  <si>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</si>
  <si>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</si>
  <si>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</si>
  <si>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</si>
  <si>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</si>
  <si>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</si>
  <si>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</si>
  <si>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</si>
  <si>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</si>
  <si>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</si>
  <si>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</si>
  <si>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</si>
  <si>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</si>
  <si>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</si>
  <si>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</si>
  <si>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</si>
  <si>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</si>
  <si>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</si>
  <si>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</si>
  <si>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</si>
  <si>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</si>
  <si>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</si>
  <si>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</si>
  <si>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</si>
  <si>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</si>
  <si>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</si>
  <si>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</si>
  <si>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</si>
  <si>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</si>
  <si>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</si>
  <si>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</si>
  <si>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</si>
  <si>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</si>
  <si>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</si>
  <si>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</si>
  <si>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</si>
  <si>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</si>
  <si>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</si>
  <si>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</si>
  <si>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</si>
  <si>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</si>
  <si>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</si>
  <si>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</si>
  <si>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</si>
  <si>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</si>
  <si>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</si>
  <si>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</si>
  <si>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</si>
  <si>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</si>
  <si>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</si>
  <si>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</si>
  <si>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</si>
  <si>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</si>
  <si>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</si>
  <si>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</si>
  <si>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</si>
  <si>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</si>
  <si>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</si>
  <si>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</si>
  <si>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</si>
  <si>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</si>
  <si>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</si>
  <si>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</si>
  <si>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</si>
  <si>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</si>
  <si>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</si>
  <si>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</si>
  <si>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</si>
  <si>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</si>
  <si>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</si>
  <si>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</si>
  <si>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</si>
  <si>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</si>
  <si>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</si>
  <si>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</si>
  <si>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</si>
  <si>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</si>
  <si>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</si>
  <si>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</si>
  <si>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</si>
  <si>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</si>
  <si>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</si>
  <si>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</si>
  <si>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</si>
  <si>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</si>
  <si>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</si>
  <si>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</si>
  <si>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</si>
  <si>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</si>
  <si>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</si>
  <si>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</si>
  <si>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</si>
  <si>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</si>
  <si>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</si>
  <si>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</si>
  <si>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</si>
  <si>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</si>
  <si>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</si>
  <si>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</si>
  <si>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</si>
  <si>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</si>
  <si>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</si>
  <si>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</si>
  <si>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</si>
  <si>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</si>
  <si>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</si>
  <si>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</si>
  <si>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</si>
  <si>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</si>
  <si>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</si>
  <si>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</si>
  <si>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</si>
  <si>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</si>
  <si>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</si>
  <si>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</si>
  <si>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</si>
  <si>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</si>
  <si>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</si>
  <si>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</si>
  <si>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</si>
  <si>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</si>
  <si>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</si>
  <si>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</si>
  <si>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</si>
  <si>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</si>
  <si>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</si>
  <si>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</si>
  <si>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</si>
  <si>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</si>
  <si>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</si>
  <si>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</si>
  <si>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</si>
  <si>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</si>
  <si>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</si>
  <si>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</si>
  <si>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</si>
  <si>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</si>
  <si>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</si>
  <si>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</si>
  <si>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</si>
  <si>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</si>
  <si>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</si>
  <si>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</si>
  <si>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</si>
  <si>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</si>
  <si>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</si>
  <si>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</si>
  <si>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</si>
  <si>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</si>
  <si>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</si>
  <si>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</si>
  <si>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</si>
  <si>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</si>
  <si>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</si>
  <si>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</si>
  <si>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</si>
  <si>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</si>
  <si>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</si>
  <si>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</si>
  <si>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</si>
  <si>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</si>
  <si>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</si>
  <si>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</si>
  <si>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</si>
  <si>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</si>
  <si>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</si>
  <si>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</si>
  <si>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</si>
  <si>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</si>
  <si>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</si>
  <si>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</si>
  <si>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</si>
  <si>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</si>
  <si>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</si>
  <si>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</si>
  <si>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</si>
  <si>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</si>
  <si>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</si>
  <si>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</si>
  <si>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</si>
  <si>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</si>
  <si>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</si>
  <si>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</si>
  <si>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</si>
  <si>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</si>
  <si>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</si>
  <si>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</si>
  <si>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</si>
  <si>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</si>
  <si>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</si>
  <si>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</si>
  <si>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</si>
  <si>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</si>
  <si>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</si>
  <si>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</si>
  <si>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</si>
  <si>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</si>
  <si>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</si>
  <si>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</si>
  <si>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</si>
  <si>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</si>
  <si>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</si>
  <si>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</si>
  <si>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</si>
  <si>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</si>
  <si>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</si>
  <si>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</si>
  <si>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</si>
  <si>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</si>
  <si>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</si>
  <si>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</si>
  <si>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</si>
  <si>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</si>
  <si>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</si>
  <si>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</si>
  <si>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</si>
  <si>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</si>
  <si>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</si>
  <si>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</si>
  <si>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</si>
  <si>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</si>
  <si>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</si>
  <si>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</si>
  <si>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</si>
  <si>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</si>
  <si>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</si>
  <si>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</si>
  <si>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</si>
  <si>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</si>
  <si>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</si>
  <si>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</si>
  <si>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</si>
  <si>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</si>
  <si>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</si>
  <si>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</si>
  <si>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</si>
  <si>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</si>
  <si>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</si>
  <si>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</si>
  <si>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</si>
  <si>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</si>
  <si>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</si>
  <si>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</si>
  <si>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</si>
  <si>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</si>
  <si>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</si>
  <si>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</si>
  <si>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</si>
  <si>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</si>
  <si>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</si>
  <si>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</si>
  <si>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</si>
  <si>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</si>
  <si>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</si>
  <si>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</si>
  <si>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</si>
  <si>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</si>
  <si>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</si>
  <si>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</si>
  <si>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</si>
  <si>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</si>
  <si>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</si>
  <si>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</si>
  <si>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</si>
  <si>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</si>
  <si>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</si>
  <si>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</si>
  <si>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</si>
  <si>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</si>
  <si>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</si>
  <si>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</si>
  <si>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</si>
  <si>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</si>
  <si>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</si>
  <si>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</si>
  <si>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</si>
  <si>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</si>
  <si>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</si>
  <si>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</si>
  <si>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</si>
  <si>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</si>
  <si>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</si>
  <si>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</si>
  <si>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</si>
  <si>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</si>
  <si>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</si>
  <si>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</si>
  <si>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</si>
  <si>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</si>
  <si>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</si>
  <si>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</si>
  <si>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</si>
  <si>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</si>
  <si>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</si>
  <si>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</si>
  <si>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</si>
  <si>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</si>
  <si>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</si>
  <si>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</si>
  <si>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</si>
  <si>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</si>
  <si>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</si>
  <si>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</si>
  <si>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</si>
  <si>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</si>
  <si>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</si>
  <si>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</si>
  <si>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</si>
  <si>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</si>
  <si>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</si>
  <si>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</si>
  <si>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</si>
  <si>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</si>
  <si>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</si>
  <si>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</si>
  <si>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</si>
  <si>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</si>
  <si>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</si>
  <si>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</si>
  <si>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</si>
  <si>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</si>
  <si>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</si>
  <si>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</si>
  <si>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</si>
  <si>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</si>
  <si>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</si>
  <si>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</si>
  <si>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</si>
  <si>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</si>
  <si>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</si>
  <si>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</si>
  <si>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</si>
  <si>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</si>
  <si>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</si>
  <si>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</si>
  <si>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</si>
  <si>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</si>
  <si>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</si>
  <si>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</si>
  <si>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</si>
  <si>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</si>
  <si>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</si>
  <si>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</si>
  <si>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</si>
  <si>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</si>
  <si>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</si>
  <si>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</si>
  <si>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</si>
  <si>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</si>
  <si>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</si>
  <si>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</si>
  <si>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</si>
  <si>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</si>
  <si>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</si>
  <si>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</si>
  <si>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</si>
  <si>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</si>
  <si>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</si>
  <si>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</si>
  <si>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</si>
  <si>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</si>
  <si>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</si>
  <si>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</si>
  <si>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</si>
  <si>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</si>
  <si>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</si>
  <si>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</si>
  <si>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</si>
  <si>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</si>
  <si>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</si>
  <si>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</si>
  <si>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</si>
  <si>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</si>
  <si>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</si>
  <si>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</si>
  <si>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</si>
  <si>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</si>
  <si>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</si>
  <si>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</si>
  <si>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</si>
  <si>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</si>
  <si>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</si>
  <si>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</si>
  <si>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</si>
  <si>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</si>
  <si>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</si>
  <si>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</si>
  <si>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</si>
  <si>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</si>
  <si>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</si>
  <si>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</si>
  <si>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</si>
  <si>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</si>
  <si>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</si>
  <si>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</si>
  <si>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</si>
  <si>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</si>
  <si>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</si>
  <si>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</si>
  <si>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</si>
  <si>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</si>
  <si>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</si>
  <si>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</si>
  <si>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</si>
  <si>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</si>
  <si>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</si>
  <si>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</si>
  <si>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</si>
  <si>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</si>
  <si>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</si>
  <si>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</si>
  <si>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</si>
  <si>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</si>
  <si>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</si>
  <si>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</si>
  <si>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</si>
  <si>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</si>
  <si>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</si>
  <si>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</si>
  <si>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</si>
  <si>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</si>
  <si>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</si>
  <si>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</si>
  <si>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</si>
  <si>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</si>
  <si>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</si>
  <si>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</si>
  <si>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</si>
  <si>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</si>
  <si>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</si>
  <si>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</si>
  <si>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</si>
  <si>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</si>
  <si>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</si>
  <si>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</si>
  <si>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</si>
  <si>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</si>
  <si>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</si>
  <si>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</si>
  <si>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</si>
  <si>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</si>
  <si>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</si>
  <si>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</si>
  <si>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</si>
  <si>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</si>
  <si>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</si>
  <si>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</si>
  <si>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</si>
  <si>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</si>
  <si>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</si>
  <si>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</si>
  <si>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</si>
  <si>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</si>
  <si>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</si>
  <si>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</si>
  <si>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</si>
  <si>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</si>
  <si>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</si>
  <si>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</si>
  <si>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</si>
  <si>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</si>
  <si>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</si>
  <si>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</si>
  <si>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</si>
  <si>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</si>
  <si>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</si>
  <si>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</si>
  <si>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</si>
  <si>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</si>
  <si>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</si>
  <si>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</si>
  <si>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</si>
  <si>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</si>
  <si>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</si>
  <si>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</si>
  <si>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</si>
  <si>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</si>
  <si>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</si>
  <si>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</si>
  <si>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</si>
  <si>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</si>
  <si>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</si>
  <si>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</si>
  <si>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</si>
  <si>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</si>
  <si>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</si>
  <si>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</si>
  <si>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</si>
  <si>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</si>
  <si>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</si>
  <si>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</si>
  <si>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</si>
  <si>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</si>
  <si>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</si>
  <si>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</si>
  <si>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</si>
  <si>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</si>
  <si>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</si>
  <si>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</si>
  <si>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</si>
  <si>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</si>
  <si>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</si>
  <si>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</si>
  <si>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</si>
  <si>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</si>
  <si>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</si>
  <si>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</si>
  <si>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</si>
  <si>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</si>
  <si>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</si>
  <si>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</si>
  <si>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</si>
  <si>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</si>
  <si>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</si>
  <si>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</si>
  <si>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</si>
  <si>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</si>
  <si>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</si>
  <si>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</si>
  <si>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</si>
  <si>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</si>
  <si>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</si>
  <si>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</si>
  <si>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</si>
  <si>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</si>
  <si>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</si>
  <si>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</si>
  <si>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</si>
  <si>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</si>
  <si>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</si>
  <si>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</si>
  <si>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</si>
  <si>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</si>
  <si>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</si>
  <si>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</si>
  <si>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</si>
  <si>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</si>
  <si>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</si>
  <si>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</si>
  <si>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</si>
  <si>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</si>
  <si>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</si>
  <si>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</si>
  <si>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</si>
  <si>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</si>
  <si>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</si>
  <si>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</si>
  <si>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</si>
  <si>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</si>
  <si>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</si>
  <si>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</si>
  <si>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</si>
  <si>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</si>
  <si>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</si>
  <si>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</si>
  <si>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</si>
  <si>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</si>
  <si>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</si>
  <si>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</si>
  <si>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</si>
  <si>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</si>
  <si>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</si>
  <si>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</si>
  <si>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</si>
  <si>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</si>
  <si>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</si>
  <si>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</si>
  <si>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</si>
  <si>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</si>
  <si>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</si>
  <si>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</si>
  <si>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</si>
  <si>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</si>
  <si>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</si>
  <si>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</si>
  <si>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</si>
  <si>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</si>
  <si>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</si>
  <si>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</si>
  <si>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</si>
  <si>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</si>
  <si>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</si>
  <si>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</si>
  <si>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</si>
  <si>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</si>
  <si>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</si>
  <si>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</si>
  <si>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</si>
  <si>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</si>
  <si>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</si>
  <si>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</si>
  <si>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</si>
  <si>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</si>
  <si>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</si>
  <si>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</si>
  <si>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</si>
  <si>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</si>
  <si>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</si>
  <si>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</si>
  <si>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</si>
  <si>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</si>
  <si>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</si>
  <si>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</si>
  <si>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</si>
  <si>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</si>
  <si>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</si>
  <si>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</si>
  <si>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</si>
  <si>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</si>
  <si>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</si>
  <si>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</si>
  <si>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</si>
  <si>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</si>
  <si>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</si>
  <si>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</si>
  <si>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</si>
  <si>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</si>
  <si>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</si>
  <si>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</si>
  <si>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</si>
  <si>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</si>
  <si>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</si>
  <si>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</si>
  <si>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</si>
  <si>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</si>
  <si>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</si>
  <si>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</si>
  <si>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</si>
  <si>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</si>
  <si>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</si>
  <si>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</si>
  <si>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</si>
  <si>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</si>
  <si>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</si>
  <si>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</si>
  <si>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</si>
  <si>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</si>
  <si>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</si>
  <si>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</si>
  <si>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</si>
  <si>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</si>
  <si>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</si>
  <si>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</si>
  <si>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</si>
  <si>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</si>
  <si>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</si>
  <si>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</si>
  <si>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</si>
  <si>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</si>
  <si>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</si>
  <si>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</si>
  <si>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</si>
  <si>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</si>
  <si>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</si>
  <si>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</si>
  <si>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</si>
  <si>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</si>
  <si>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</si>
  <si>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</si>
  <si>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</si>
  <si>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</si>
  <si>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</si>
  <si>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</si>
  <si>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</si>
  <si>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</si>
  <si>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</si>
  <si>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</si>
  <si>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</si>
  <si>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</si>
  <si>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</si>
  <si>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</si>
  <si>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</si>
  <si>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</si>
  <si>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</si>
  <si>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</si>
  <si>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</si>
  <si>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</si>
  <si>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</si>
  <si>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</si>
  <si>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</si>
  <si>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</si>
  <si>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</si>
  <si>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</si>
  <si>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</si>
  <si>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</si>
  <si>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</si>
  <si>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</si>
  <si>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</si>
  <si>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</si>
  <si>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</si>
  <si>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</si>
  <si>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</si>
  <si>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</si>
  <si>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</si>
  <si>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</si>
  <si>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</si>
  <si>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</si>
  <si>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</si>
  <si>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</si>
  <si>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</si>
  <si>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</si>
  <si>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</si>
  <si>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</si>
  <si>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</si>
  <si>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</si>
  <si>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</si>
  <si>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</si>
  <si>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</si>
  <si>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</si>
  <si>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</si>
  <si>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</si>
  <si>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</si>
  <si>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</si>
  <si>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</si>
  <si>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</si>
  <si>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</si>
  <si>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</si>
  <si>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</si>
  <si>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</si>
  <si>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</si>
  <si>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</si>
  <si>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</si>
  <si>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</si>
  <si>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</si>
  <si>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</si>
  <si>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</si>
  <si>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</si>
  <si>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</si>
  <si>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</si>
  <si>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</si>
  <si>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</si>
  <si>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</si>
  <si>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</si>
  <si>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</si>
  <si>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</si>
  <si>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</si>
  <si>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</si>
  <si>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</si>
  <si>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</si>
  <si>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</si>
  <si>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</si>
  <si>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</si>
  <si>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</si>
  <si>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</si>
  <si>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</si>
  <si>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</si>
  <si>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</si>
  <si>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</si>
  <si>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</si>
  <si>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</si>
  <si>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</si>
  <si>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</si>
  <si>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</si>
  <si>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</si>
  <si>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</si>
  <si>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</si>
  <si>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</si>
  <si>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</si>
  <si>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</si>
  <si>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</si>
  <si>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</si>
  <si>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</si>
  <si>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</si>
  <si>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</si>
  <si>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</si>
  <si>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</si>
  <si>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</si>
  <si>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</si>
  <si>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</si>
  <si>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</si>
  <si>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</si>
  <si>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</si>
  <si>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</si>
  <si>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</si>
  <si>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</si>
  <si>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</si>
  <si>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</si>
  <si>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</si>
  <si>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</si>
  <si>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</si>
  <si>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</si>
  <si>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</si>
  <si>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</si>
  <si>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</si>
  <si>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</si>
  <si>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</si>
  <si>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</si>
  <si>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</si>
  <si>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</si>
  <si>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</si>
  <si>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</si>
  <si>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</si>
  <si>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</si>
  <si>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</si>
  <si>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</si>
  <si>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</si>
  <si>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</si>
  <si>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</si>
  <si>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</si>
  <si>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</si>
  <si>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</si>
  <si>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</si>
  <si>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</si>
  <si>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</si>
  <si>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</si>
  <si>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</si>
  <si>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</si>
  <si>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</si>
  <si>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</si>
  <si>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</si>
  <si>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</si>
  <si>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</si>
  <si>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</si>
  <si>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</si>
  <si>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</si>
  <si>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</si>
  <si>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</si>
  <si>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</si>
  <si>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</si>
  <si>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</si>
  <si>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</si>
  <si>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</si>
  <si>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</si>
  <si>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</si>
  <si>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</si>
  <si>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</si>
  <si>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</si>
  <si>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</si>
  <si>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</si>
  <si>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</si>
  <si>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</si>
  <si>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</si>
  <si>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</si>
  <si>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</si>
  <si>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</si>
  <si>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</si>
  <si>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</si>
  <si>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</si>
  <si>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</si>
  <si>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</si>
  <si>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</si>
  <si>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</si>
  <si>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</si>
  <si>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</si>
  <si>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</si>
  <si>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</si>
  <si>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</si>
  <si>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</si>
  <si>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</si>
  <si>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</si>
  <si>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</si>
  <si>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</si>
  <si>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</si>
  <si>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</si>
  <si>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</si>
  <si>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</si>
  <si>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</si>
  <si>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</si>
  <si>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</si>
  <si>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</si>
  <si>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</si>
  <si>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</si>
  <si>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</si>
  <si>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</si>
  <si>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</si>
  <si>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</si>
  <si>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</si>
  <si>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</si>
  <si>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</si>
  <si>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</si>
  <si>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</si>
  <si>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</si>
  <si>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</si>
  <si>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</si>
  <si>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</si>
  <si>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</si>
  <si>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</si>
  <si>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</si>
  <si>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</si>
  <si>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</si>
  <si>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</si>
  <si>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</si>
  <si>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</si>
  <si>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</si>
  <si>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</si>
  <si>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</si>
  <si>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</si>
  <si>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</si>
  <si>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</si>
  <si>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</si>
  <si>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</si>
  <si>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</si>
  <si>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</si>
  <si>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</si>
  <si>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</si>
  <si>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</si>
  <si>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</si>
  <si>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</si>
  <si>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</si>
  <si>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</si>
  <si>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</si>
  <si>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</si>
  <si>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</si>
  <si>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</si>
  <si>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</si>
  <si>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</si>
  <si>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</si>
  <si>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</si>
  <si>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</si>
  <si>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</si>
  <si>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</si>
  <si>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</si>
  <si>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</si>
  <si>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</si>
  <si>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</si>
  <si>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</si>
  <si>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</si>
  <si>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</si>
  <si>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</si>
  <si>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</si>
  <si>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</si>
  <si>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</si>
  <si>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</si>
  <si>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</si>
  <si>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</si>
  <si>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</si>
  <si>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</si>
  <si>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</si>
  <si>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</si>
  <si>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</si>
  <si>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</si>
  <si>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</si>
  <si>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</si>
  <si>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</si>
  <si>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</si>
  <si>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</si>
  <si>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</si>
  <si>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</si>
  <si>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</si>
  <si>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</si>
  <si>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</si>
  <si>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</si>
  <si>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</si>
  <si>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</si>
  <si>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</si>
  <si>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</si>
  <si>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</si>
  <si>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</si>
  <si>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</si>
  <si>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</si>
  <si>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</si>
  <si>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</si>
  <si>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</si>
  <si>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</si>
  <si>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</si>
  <si>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</si>
  <si>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</si>
  <si>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</si>
  <si>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</si>
  <si>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</si>
  <si>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</si>
  <si>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</si>
  <si>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</si>
  <si>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</si>
  <si>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</si>
  <si>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</si>
  <si>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</si>
  <si>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</si>
  <si>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</si>
  <si>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</si>
  <si>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</si>
  <si>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</si>
  <si>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</si>
  <si>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</si>
  <si>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</si>
  <si>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</si>
  <si>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</si>
  <si>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</si>
  <si>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</si>
  <si>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</si>
  <si>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</si>
  <si>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</si>
  <si>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</si>
  <si>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</si>
  <si>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</si>
  <si>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</si>
  <si>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</si>
  <si>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</si>
  <si>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</si>
  <si>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</si>
  <si>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</si>
  <si>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</si>
  <si>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</si>
  <si>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</si>
  <si>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</si>
  <si>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</si>
  <si>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</si>
  <si>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</si>
  <si>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</si>
  <si>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</si>
  <si>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</si>
  <si>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</si>
  <si>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</si>
  <si>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</si>
  <si>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</si>
  <si>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</si>
  <si>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</si>
  <si>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</si>
  <si>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</si>
  <si>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</si>
  <si>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</si>
  <si>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</si>
  <si>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</si>
  <si>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</si>
  <si>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</si>
  <si>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</si>
  <si>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</si>
  <si>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</si>
  <si>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</si>
  <si>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</si>
  <si>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</si>
  <si>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</si>
  <si>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</si>
  <si>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</si>
  <si>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</si>
  <si>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</si>
  <si>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</si>
  <si>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</si>
  <si>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</si>
  <si>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</si>
  <si>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</si>
  <si>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</si>
  <si>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</si>
  <si>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</si>
  <si>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</si>
  <si>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</si>
  <si>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</si>
  <si>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</si>
  <si>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</si>
  <si>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</si>
  <si>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</si>
  <si>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</si>
  <si>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</si>
  <si>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</si>
  <si>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</si>
  <si>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</si>
  <si>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</si>
  <si>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</si>
  <si>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</si>
  <si>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</si>
  <si>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</si>
  <si>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</si>
  <si>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</si>
  <si>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</si>
  <si>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</si>
  <si>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</si>
  <si>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</si>
  <si>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</si>
  <si>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</si>
  <si>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</si>
  <si>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</si>
  <si>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</si>
  <si>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</si>
  <si>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</si>
  <si>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</si>
  <si>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</si>
  <si>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</si>
  <si>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</si>
  <si>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</si>
  <si>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</si>
  <si>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</si>
  <si>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</si>
  <si>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</si>
  <si>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</si>
  <si>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</si>
  <si>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</si>
  <si>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</si>
  <si>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</si>
  <si>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</si>
  <si>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</si>
  <si>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</si>
  <si>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</si>
  <si>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</si>
  <si>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</si>
  <si>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</si>
  <si>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</si>
  <si>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</si>
  <si>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</si>
  <si>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</si>
  <si>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</si>
  <si>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</si>
  <si>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</si>
  <si>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</si>
  <si>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</si>
  <si>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</si>
  <si>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</si>
  <si>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</si>
  <si>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</si>
  <si>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</si>
  <si>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</si>
  <si>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</si>
  <si>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</si>
  <si>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</si>
  <si>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</si>
  <si>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</si>
  <si>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</si>
  <si>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</si>
  <si>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</si>
  <si>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</si>
  <si>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</si>
  <si>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</si>
  <si>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</si>
  <si>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</si>
  <si>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</si>
  <si>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</si>
  <si>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</si>
  <si>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</si>
  <si>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</si>
  <si>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</si>
  <si>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</si>
  <si>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</si>
  <si>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</si>
  <si>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</si>
  <si>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</si>
  <si>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</si>
  <si>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</si>
  <si>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</si>
  <si>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</si>
  <si>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</si>
  <si>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</si>
  <si>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</si>
  <si>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</si>
  <si>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</si>
  <si>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</si>
  <si>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</si>
  <si>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</si>
  <si>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</si>
  <si>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</si>
  <si>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</si>
  <si>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</si>
  <si>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</si>
  <si>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</si>
  <si>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</si>
  <si>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</si>
  <si>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</si>
  <si>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</si>
  <si>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</si>
  <si>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</si>
  <si>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</si>
  <si>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</si>
  <si>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</si>
  <si>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</si>
  <si>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</si>
  <si>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</si>
  <si>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</si>
  <si>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</si>
  <si>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</si>
  <si>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</si>
  <si>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</si>
  <si>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</si>
  <si>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</si>
  <si>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</si>
  <si>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</si>
  <si>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</si>
  <si>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</si>
  <si>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</si>
  <si>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</si>
  <si>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</si>
  <si>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</si>
  <si>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</si>
  <si>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</si>
  <si>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</si>
  <si>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</si>
  <si>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</si>
  <si>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</si>
  <si>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</si>
  <si>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</si>
  <si>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</si>
  <si>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</si>
  <si>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</si>
  <si>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</si>
  <si>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</si>
  <si>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</si>
  <si>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</si>
  <si>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</si>
  <si>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</si>
  <si>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</si>
  <si>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</si>
  <si>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</si>
  <si>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</si>
  <si>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</si>
  <si>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</si>
  <si>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</si>
  <si>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</si>
  <si>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</si>
  <si>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</si>
  <si>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</si>
  <si>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</si>
  <si>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</si>
  <si>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</si>
  <si>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</si>
  <si>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</si>
  <si>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</si>
  <si>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</si>
  <si>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</si>
  <si>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</si>
  <si>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</si>
  <si>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</si>
  <si>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</si>
  <si>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</si>
  <si>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</si>
  <si>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</si>
  <si>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</si>
  <si>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</si>
  <si>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</si>
  <si>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</si>
  <si>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</si>
  <si>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</si>
  <si>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</si>
  <si>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</si>
  <si>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</si>
  <si>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</si>
  <si>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</si>
  <si>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</si>
  <si>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</si>
  <si>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</si>
  <si>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</si>
  <si>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</si>
  <si>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</si>
  <si>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</si>
  <si>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</si>
  <si>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</si>
  <si>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</si>
  <si>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</si>
  <si>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</si>
  <si>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</si>
  <si>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</si>
  <si>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</si>
  <si>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</si>
  <si>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</si>
  <si>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</si>
  <si>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</si>
  <si>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</si>
  <si>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</si>
  <si>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</si>
  <si>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</si>
  <si>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</si>
  <si>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</si>
  <si>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</si>
  <si>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</si>
  <si>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</si>
  <si>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</si>
  <si>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</si>
  <si>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</si>
  <si>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</si>
  <si>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</si>
  <si>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</si>
  <si>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</si>
  <si>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</si>
  <si>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</si>
  <si>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</si>
  <si>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</si>
  <si>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</si>
  <si>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</si>
  <si>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</si>
  <si>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</si>
  <si>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</si>
  <si>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</si>
  <si>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</si>
  <si>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</si>
  <si>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</si>
  <si>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</si>
  <si>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</si>
  <si>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</si>
  <si>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</si>
  <si>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</si>
  <si>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</si>
  <si>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</si>
  <si>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</si>
  <si>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</si>
  <si>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</si>
  <si>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</si>
  <si>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</si>
  <si>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</si>
  <si>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</si>
  <si>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</si>
  <si>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</si>
  <si>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</si>
  <si>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</si>
  <si>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</si>
  <si>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</si>
  <si>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</si>
  <si>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</si>
  <si>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</si>
  <si>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</si>
  <si>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</si>
  <si>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</si>
  <si>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</si>
  <si>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</si>
  <si>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</si>
  <si>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</si>
  <si>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</si>
  <si>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</si>
  <si>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</si>
  <si>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</si>
  <si>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</si>
  <si>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</si>
  <si>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</si>
  <si>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</si>
  <si>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</si>
  <si>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</si>
  <si>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</si>
  <si>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</si>
  <si>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</si>
  <si>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</si>
  <si>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</si>
  <si>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</si>
  <si>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</si>
  <si>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</si>
  <si>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</si>
  <si>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</si>
  <si>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</si>
  <si>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</si>
  <si>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</si>
  <si>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</si>
  <si>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</si>
  <si>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</si>
  <si>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</si>
  <si>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</si>
  <si>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</si>
  <si>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</si>
  <si>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</si>
  <si>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</si>
  <si>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</si>
  <si>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</si>
  <si>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</si>
  <si>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</si>
  <si>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</si>
  <si>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</si>
  <si>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</si>
  <si>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</si>
  <si>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</si>
  <si>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</si>
  <si>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</si>
  <si>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</si>
  <si>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</si>
  <si>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</si>
  <si>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</si>
  <si>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</si>
  <si>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</si>
  <si>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</si>
  <si>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</si>
  <si>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</si>
  <si>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</si>
  <si>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</si>
  <si>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</si>
  <si>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</si>
  <si>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</si>
  <si>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</si>
  <si>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</si>
  <si>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</si>
  <si>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</si>
  <si>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</si>
  <si>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</si>
  <si>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</si>
  <si>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</si>
  <si>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</si>
  <si>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</si>
  <si>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</si>
  <si>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</si>
  <si>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</si>
  <si>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</si>
  <si>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</si>
  <si>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</si>
  <si>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</si>
  <si>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</si>
  <si>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</si>
  <si>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</si>
  <si>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</si>
  <si>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</si>
  <si>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</si>
  <si>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</si>
  <si>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</si>
  <si>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</si>
  <si>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</si>
  <si>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</si>
  <si>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</si>
  <si>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</si>
  <si>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</si>
  <si>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</si>
  <si>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</si>
  <si>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</si>
  <si>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</si>
  <si>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</si>
  <si>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</si>
  <si>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</si>
  <si>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</si>
  <si>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</si>
  <si>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</si>
  <si>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</si>
  <si>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</si>
  <si>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</si>
  <si>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</si>
  <si>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</si>
  <si>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</si>
  <si>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</si>
  <si>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</si>
  <si>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</si>
  <si>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</si>
  <si>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</si>
  <si>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</si>
  <si>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</si>
  <si>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</si>
  <si>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</si>
  <si>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</si>
  <si>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</si>
  <si>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</si>
  <si>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</si>
  <si>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</si>
  <si>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</si>
  <si>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</si>
  <si>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</si>
  <si>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</si>
  <si>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</si>
  <si>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</si>
  <si>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</si>
  <si>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</si>
  <si>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</si>
  <si>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</si>
  <si>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</si>
  <si>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</si>
  <si>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</si>
  <si>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</si>
  <si>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</si>
  <si>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</si>
  <si>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</si>
  <si>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</si>
  <si>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</si>
  <si>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</si>
  <si>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</si>
  <si>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</si>
  <si>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</si>
  <si>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</si>
  <si>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</si>
  <si>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</si>
  <si>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</si>
  <si>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</si>
  <si>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</si>
  <si>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</si>
  <si>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</si>
  <si>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</si>
  <si>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</si>
  <si>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</si>
  <si>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</si>
  <si>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</si>
  <si>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</si>
  <si>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</si>
  <si>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</si>
  <si>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</si>
  <si>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</si>
  <si>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</si>
  <si>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</si>
  <si>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</si>
  <si>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</si>
  <si>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</si>
  <si>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</si>
  <si>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</si>
  <si>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</si>
  <si>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</si>
  <si>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</si>
  <si>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</si>
  <si>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</si>
  <si>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</si>
  <si>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</si>
  <si>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</si>
  <si>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</si>
  <si>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</si>
  <si>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</si>
  <si>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</si>
  <si>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</si>
  <si>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</si>
  <si>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</si>
  <si>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</si>
  <si>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</si>
  <si>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</si>
  <si>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</si>
  <si>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</si>
  <si>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</si>
  <si>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</si>
  <si>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</si>
  <si>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</si>
  <si>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</si>
  <si>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</si>
  <si>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</si>
  <si>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</si>
  <si>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</si>
  <si>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</si>
  <si>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</si>
  <si>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</si>
  <si>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</si>
  <si>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</si>
  <si>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</si>
  <si>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</si>
  <si>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</si>
  <si>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</si>
  <si>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</si>
  <si>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</si>
  <si>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</si>
  <si>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</si>
  <si>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</si>
  <si>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</si>
  <si>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</si>
  <si>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</si>
  <si>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</si>
  <si>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</si>
  <si>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</si>
  <si>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</si>
  <si>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</si>
  <si>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</si>
  <si>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</si>
  <si>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</si>
  <si>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</si>
  <si>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</si>
  <si>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</si>
  <si>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</si>
  <si>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</si>
  <si>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</si>
  <si>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</si>
  <si>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</si>
  <si>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</si>
  <si>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</si>
  <si>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</si>
  <si>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</si>
  <si>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</si>
  <si>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</si>
  <si>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</si>
  <si>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</si>
  <si>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</si>
  <si>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</si>
  <si>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</si>
  <si>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</si>
  <si>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</si>
  <si>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</si>
  <si>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</si>
  <si>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</si>
  <si>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</si>
  <si>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</si>
  <si>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</si>
  <si>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</si>
  <si>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</si>
  <si>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</si>
  <si>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</si>
  <si>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</si>
  <si>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</si>
  <si>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</si>
  <si>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</si>
  <si>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</si>
  <si>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</si>
  <si>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</si>
  <si>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</si>
  <si>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</si>
  <si>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</si>
  <si>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</si>
  <si>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</si>
  <si>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</si>
  <si>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</si>
  <si>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</si>
  <si>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</si>
  <si>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</si>
  <si>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</si>
  <si>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</si>
  <si>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</si>
  <si>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</si>
  <si>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</si>
  <si>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</si>
  <si>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</si>
  <si>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</si>
  <si>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</si>
  <si>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</si>
  <si>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</si>
  <si>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</si>
  <si>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</si>
  <si>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</si>
  <si>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</si>
  <si>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</si>
  <si>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</si>
  <si>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</si>
  <si>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</si>
  <si>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</si>
  <si>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</si>
  <si>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</si>
  <si>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</si>
  <si>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</si>
  <si>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</si>
  <si>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</si>
  <si>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</si>
  <si>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</si>
  <si>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</si>
  <si>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</si>
  <si>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</si>
  <si>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</si>
  <si>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</si>
  <si>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</si>
  <si>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</si>
  <si>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</si>
  <si>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</si>
  <si>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</si>
  <si>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</si>
  <si>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</si>
  <si>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</si>
  <si>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</si>
  <si>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</si>
  <si>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</si>
  <si>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</si>
  <si>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</si>
  <si>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</si>
  <si>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</si>
  <si>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</si>
  <si>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</si>
  <si>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</si>
  <si>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</si>
  <si>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</si>
  <si>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</si>
  <si>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</si>
  <si>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</si>
  <si>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</si>
  <si>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</si>
  <si>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</si>
  <si>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</si>
  <si>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</si>
  <si>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</si>
  <si>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</si>
  <si>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</si>
  <si>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</si>
  <si>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</si>
  <si>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</si>
  <si>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</si>
  <si>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</si>
  <si>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</si>
  <si>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</si>
  <si>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</si>
  <si>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</si>
  <si>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</si>
  <si>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</si>
  <si>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</si>
  <si>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</si>
  <si>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</si>
  <si>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</si>
  <si>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</si>
  <si>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</si>
  <si>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</si>
  <si>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</si>
  <si>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</si>
  <si>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</si>
  <si>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</si>
  <si>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</si>
  <si>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</si>
  <si>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</si>
  <si>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</si>
  <si>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</si>
  <si>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</si>
  <si>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</si>
  <si>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</si>
  <si>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</si>
  <si>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</si>
  <si>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</si>
  <si>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</si>
  <si>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</si>
  <si>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</si>
  <si>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</si>
  <si>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</si>
  <si>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</si>
  <si>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</si>
  <si>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</si>
  <si>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</si>
  <si>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</si>
  <si>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</si>
  <si>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</si>
  <si>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</si>
  <si>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</si>
  <si>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</si>
  <si>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</si>
  <si>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</si>
  <si>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</si>
  <si>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</si>
  <si>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</si>
  <si>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</si>
  <si>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</si>
  <si>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</si>
  <si>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</si>
  <si>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</si>
  <si>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</si>
  <si>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</si>
  <si>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</si>
  <si>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</si>
  <si>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</si>
  <si>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</si>
  <si>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</si>
  <si>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</si>
  <si>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</si>
  <si>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</si>
  <si>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</si>
  <si>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</si>
  <si>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</si>
  <si>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</si>
  <si>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</si>
  <si>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</si>
  <si>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</si>
  <si>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</si>
  <si>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</si>
  <si>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</si>
  <si>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</si>
  <si>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</si>
  <si>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</si>
  <si>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</si>
  <si>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</si>
  <si>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</si>
  <si>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</si>
  <si>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</si>
  <si>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</si>
  <si>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</si>
  <si>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</si>
  <si>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</si>
  <si>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</si>
  <si>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</si>
  <si>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</si>
  <si>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</si>
  <si>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</si>
  <si>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</si>
  <si>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</si>
  <si>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</si>
  <si>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</si>
  <si>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</si>
  <si>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</si>
  <si>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</si>
  <si>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</si>
  <si>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</si>
  <si>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</si>
  <si>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</si>
  <si>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</si>
  <si>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</si>
  <si>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</si>
  <si>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</si>
  <si>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</si>
  <si>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</si>
  <si>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</si>
  <si>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</si>
  <si>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</si>
  <si>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</si>
  <si>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</si>
  <si>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</si>
  <si>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</si>
  <si>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</si>
  <si>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</si>
  <si>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</si>
  <si>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</si>
  <si>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</si>
  <si>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</si>
  <si>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</si>
  <si>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</si>
  <si>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</si>
  <si>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</si>
  <si>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</si>
  <si>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</si>
  <si>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</si>
  <si>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</si>
  <si>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</si>
  <si>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</si>
  <si>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</si>
  <si>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</si>
  <si>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</si>
  <si>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</si>
  <si>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</si>
  <si>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</si>
  <si>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</si>
  <si>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</si>
  <si>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</si>
  <si>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</si>
  <si>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</si>
  <si>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</si>
  <si>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</si>
  <si>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</si>
  <si>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</si>
  <si>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</si>
  <si>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</si>
  <si>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</si>
  <si>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</si>
  <si>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</si>
  <si>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</si>
  <si>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</si>
  <si>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</si>
  <si>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</si>
  <si>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</si>
  <si>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</si>
  <si>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</si>
  <si>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</si>
  <si>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</si>
  <si>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</si>
  <si>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</si>
  <si>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</si>
  <si>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</si>
  <si>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</si>
  <si>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</si>
  <si>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</si>
  <si>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</si>
  <si>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</si>
  <si>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</si>
  <si>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</si>
  <si>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</si>
  <si>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</si>
  <si>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</si>
  <si>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</si>
  <si>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</si>
  <si>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</si>
  <si>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</si>
  <si>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</si>
  <si>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</si>
  <si>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</si>
  <si>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</si>
  <si>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</si>
  <si>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</si>
  <si>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</si>
  <si>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</si>
  <si>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</si>
  <si>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</si>
  <si>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</si>
  <si>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</si>
  <si>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</si>
  <si>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</si>
  <si>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</si>
  <si>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</si>
  <si>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</si>
  <si>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</si>
  <si>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</si>
  <si>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</si>
  <si>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</si>
  <si>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</si>
  <si>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</si>
  <si>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</si>
  <si>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</si>
  <si>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</si>
  <si>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</si>
  <si>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</si>
  <si>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</si>
  <si>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</si>
  <si>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</si>
  <si>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</si>
  <si>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</si>
  <si>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</si>
  <si>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</si>
  <si>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</si>
  <si>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</si>
  <si>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</si>
  <si>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</si>
  <si>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</si>
  <si>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</si>
  <si>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</si>
  <si>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</si>
  <si>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</si>
  <si>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</si>
  <si>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</si>
  <si>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</si>
  <si>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</si>
  <si>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</si>
  <si>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</si>
  <si>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</si>
  <si>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</si>
  <si>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</si>
  <si>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</si>
  <si>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</si>
  <si>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</si>
  <si>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</si>
  <si>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</si>
  <si>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</si>
  <si>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</si>
  <si>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</si>
  <si>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</si>
  <si>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</si>
  <si>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</si>
  <si>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</si>
  <si>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</si>
  <si>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</si>
  <si>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</si>
  <si>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</si>
  <si>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</si>
  <si>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</si>
  <si>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</si>
  <si>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</si>
  <si>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</si>
  <si>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</si>
  <si>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</si>
  <si>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</si>
  <si>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</si>
  <si>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</si>
  <si>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</si>
  <si>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</si>
  <si>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</si>
  <si>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</si>
  <si>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</si>
  <si>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</si>
  <si>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</si>
  <si>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</si>
  <si>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</si>
  <si>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</si>
  <si>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</si>
  <si>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</si>
  <si>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</si>
  <si>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</si>
  <si>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</si>
  <si>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</si>
  <si>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</si>
  <si>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</si>
  <si>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</si>
  <si>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</si>
  <si>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</si>
  <si>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</si>
  <si>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</si>
  <si>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</si>
  <si>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</si>
  <si>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</si>
  <si>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</si>
  <si>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</si>
  <si>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</si>
  <si>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</si>
  <si>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</si>
  <si>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</si>
  <si>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</si>
  <si>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</si>
  <si>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</si>
  <si>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</si>
  <si>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</si>
  <si>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</si>
  <si>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</si>
  <si>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</si>
  <si>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</si>
  <si>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</si>
  <si>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</si>
  <si>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</si>
  <si>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</si>
  <si>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</si>
  <si>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</si>
  <si>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</si>
  <si>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</si>
  <si>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</si>
  <si>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</si>
  <si>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</si>
  <si>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</si>
  <si>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</si>
  <si>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</si>
  <si>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</si>
  <si>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</si>
  <si>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</si>
  <si>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</si>
  <si>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</si>
  <si>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</si>
  <si>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</si>
  <si>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</si>
  <si>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</si>
  <si>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</si>
  <si>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</si>
  <si>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</si>
  <si>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</si>
  <si>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</si>
  <si>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</si>
  <si>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</si>
  <si>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</si>
  <si>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</si>
  <si>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</si>
  <si>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</si>
  <si>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</si>
  <si>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</si>
  <si>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</si>
  <si>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</si>
  <si>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</si>
  <si>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</si>
  <si>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</si>
  <si>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</si>
  <si>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</si>
  <si>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</si>
  <si>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</si>
  <si>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</si>
  <si>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</si>
  <si>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</si>
  <si>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</si>
  <si>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</si>
  <si>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</si>
  <si>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</si>
  <si>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</si>
  <si>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</si>
  <si>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</si>
  <si>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</si>
  <si>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</si>
  <si>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</si>
  <si>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</si>
  <si>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</si>
  <si>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</si>
  <si>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</si>
  <si>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</si>
  <si>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</si>
  <si>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</si>
  <si>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</si>
  <si>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</si>
  <si>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</si>
  <si>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</si>
  <si>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</si>
  <si>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</si>
  <si>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</si>
  <si>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</si>
  <si>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</si>
  <si>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</si>
  <si>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</si>
  <si>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</si>
  <si>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</si>
  <si>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</si>
  <si>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</si>
  <si>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</si>
  <si>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</si>
  <si>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</si>
  <si>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</si>
  <si>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</si>
  <si>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</si>
  <si>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</si>
  <si>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</si>
  <si>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</si>
  <si>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</si>
  <si>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</si>
  <si>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</si>
  <si>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</si>
  <si>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</si>
  <si>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</si>
  <si>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</si>
  <si>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</si>
  <si>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</si>
  <si>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</si>
  <si>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</si>
  <si>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</si>
  <si>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</si>
  <si>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</si>
  <si>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</si>
  <si>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</si>
  <si>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</si>
  <si>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</si>
  <si>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</si>
  <si>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</si>
  <si>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</si>
  <si>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</si>
  <si>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</si>
  <si>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</si>
  <si>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</si>
  <si>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</si>
  <si>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</si>
  <si>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</si>
  <si>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</si>
  <si>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</si>
  <si>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</si>
  <si>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</si>
  <si>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</si>
  <si>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</si>
  <si>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</si>
  <si>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</si>
  <si>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</si>
  <si>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</si>
  <si>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</si>
  <si>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</si>
  <si>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</si>
  <si>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</si>
  <si>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</si>
  <si>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</si>
  <si>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</si>
  <si>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</si>
  <si>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</si>
  <si>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</si>
  <si>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</si>
  <si>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</si>
  <si>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</si>
  <si>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</si>
  <si>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</si>
  <si>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</si>
  <si>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</si>
  <si>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</si>
  <si>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</si>
  <si>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</si>
  <si>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</si>
  <si>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</si>
  <si>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</si>
  <si>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</si>
  <si>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</si>
  <si>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</si>
  <si>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</si>
  <si>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</si>
  <si>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</si>
  <si>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</si>
  <si>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</si>
  <si>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</si>
  <si>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</si>
  <si>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</si>
  <si>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</si>
  <si>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</si>
  <si>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</si>
  <si>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</si>
  <si>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</si>
  <si>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</si>
  <si>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</si>
  <si>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</si>
  <si>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</si>
  <si>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</si>
  <si>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</si>
  <si>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</si>
  <si>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</si>
  <si>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</si>
  <si>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</si>
  <si>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</si>
  <si>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</si>
  <si>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</si>
  <si>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</si>
  <si>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</si>
  <si>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</si>
  <si>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</si>
  <si>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</si>
  <si>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</si>
  <si>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</si>
  <si>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</si>
  <si>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</si>
  <si>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</si>
  <si>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</si>
  <si>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</si>
  <si>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</si>
  <si>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</si>
  <si>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</si>
  <si>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</si>
  <si>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</si>
  <si>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</si>
  <si>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</si>
  <si>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</si>
  <si>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</si>
  <si>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</si>
  <si>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</si>
  <si>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</si>
  <si>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</si>
  <si>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</si>
  <si>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</si>
  <si>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</si>
  <si>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</si>
  <si>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</si>
  <si>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</si>
  <si>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</si>
  <si>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</si>
  <si>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</si>
  <si>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</si>
  <si>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</si>
  <si>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</si>
  <si>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</si>
  <si>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</si>
  <si>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</si>
  <si>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</si>
  <si>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</si>
  <si>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</si>
  <si>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</si>
  <si>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</si>
  <si>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</si>
  <si>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</si>
  <si>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</si>
  <si>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</si>
  <si>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</si>
  <si>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</si>
  <si>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</si>
  <si>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</si>
  <si>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</si>
  <si>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</si>
  <si>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</si>
  <si>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</si>
  <si>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</si>
  <si>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</si>
  <si>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</si>
  <si>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</si>
  <si>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</si>
  <si>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</si>
  <si>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</si>
  <si>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</si>
  <si>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</si>
  <si>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</si>
  <si>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</si>
  <si>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</si>
  <si>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</si>
  <si>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</si>
  <si>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</si>
  <si>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</si>
  <si>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</si>
  <si>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</si>
  <si>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</si>
  <si>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</si>
  <si>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</si>
  <si>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</si>
  <si>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</si>
  <si>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</si>
  <si>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</si>
  <si>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</si>
  <si>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</si>
  <si>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</si>
  <si>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</si>
  <si>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</si>
  <si>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</si>
  <si>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</si>
  <si>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</si>
  <si>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</si>
  <si>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</si>
  <si>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</si>
  <si>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</si>
  <si>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</si>
  <si>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</si>
  <si>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</si>
  <si>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</si>
  <si>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</si>
  <si>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</si>
  <si>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</si>
  <si>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</si>
  <si>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</si>
  <si>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</si>
  <si>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</si>
  <si>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</si>
  <si>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</si>
  <si>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</si>
  <si>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</si>
  <si>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</si>
  <si>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</si>
  <si>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</si>
  <si>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</si>
  <si>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</si>
  <si>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</si>
  <si>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</si>
  <si>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</si>
  <si>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</si>
  <si>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</si>
  <si>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</si>
  <si>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</si>
  <si>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</si>
  <si>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</si>
  <si>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</si>
  <si>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</si>
  <si>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</si>
  <si>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</si>
  <si>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</si>
  <si>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</si>
  <si>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</si>
  <si>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</si>
  <si>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</si>
  <si>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</si>
  <si>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</si>
  <si>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</si>
  <si>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</si>
  <si>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</si>
  <si>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</si>
  <si>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</si>
  <si>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</si>
  <si>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</si>
  <si>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</si>
  <si>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</si>
  <si>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</si>
  <si>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</si>
  <si>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</si>
  <si>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</si>
  <si>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</si>
  <si>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</si>
  <si>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</si>
  <si>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</si>
  <si>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</si>
  <si>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</si>
  <si>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</si>
  <si>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</si>
  <si>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</si>
  <si>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</si>
  <si>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</si>
  <si>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</si>
  <si>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</si>
  <si>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</si>
  <si>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</si>
  <si>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</si>
  <si>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</si>
  <si>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</si>
  <si>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</si>
  <si>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</si>
  <si>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</si>
  <si>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</si>
  <si>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</si>
  <si>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</si>
  <si>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</si>
  <si>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</si>
  <si>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</si>
  <si>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</si>
  <si>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</si>
  <si>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</si>
  <si>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</si>
  <si>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</si>
  <si>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</si>
  <si>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</si>
  <si>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</si>
  <si>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</si>
  <si>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</si>
  <si>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</si>
  <si>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</si>
  <si>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</si>
  <si>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</si>
  <si>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</si>
  <si>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</si>
  <si>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</si>
  <si>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</si>
  <si>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</si>
  <si>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</si>
  <si>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</si>
  <si>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</si>
  <si>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</si>
  <si>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</si>
  <si>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</si>
  <si>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</si>
  <si>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</si>
  <si>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</si>
  <si>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</si>
  <si>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</si>
  <si>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</si>
  <si>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</si>
  <si>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</si>
  <si>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</si>
  <si>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</si>
  <si>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</si>
  <si>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</si>
  <si>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</si>
  <si>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</si>
  <si>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</si>
  <si>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</si>
  <si>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</si>
  <si>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</si>
  <si>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</si>
  <si>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</si>
  <si>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</si>
  <si>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</si>
  <si>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</si>
  <si>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</si>
  <si>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</si>
  <si>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</si>
  <si>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</si>
  <si>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</si>
  <si>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</si>
  <si>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</si>
  <si>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</si>
  <si>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</si>
  <si>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</si>
  <si>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</si>
  <si>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</si>
  <si>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</si>
  <si>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</si>
  <si>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</si>
  <si>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</si>
  <si>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</si>
  <si>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</si>
  <si>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</si>
  <si>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</si>
  <si>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</si>
  <si>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</si>
  <si>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</si>
  <si>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</si>
  <si>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</si>
  <si>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</si>
  <si>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</si>
  <si>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</si>
  <si>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</si>
  <si>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</si>
  <si>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</si>
  <si>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</si>
  <si>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</si>
  <si>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</si>
  <si>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</si>
  <si>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</si>
  <si>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</si>
  <si>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</si>
  <si>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</si>
  <si>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</si>
  <si>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</si>
  <si>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</si>
  <si>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</si>
  <si>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</si>
  <si>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</si>
  <si>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</si>
  <si>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</si>
  <si>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</si>
  <si>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</si>
  <si>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</si>
  <si>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</si>
  <si>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</si>
  <si>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</si>
  <si>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</si>
  <si>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</si>
  <si>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</si>
  <si>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</si>
  <si>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</si>
  <si>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</si>
  <si>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</si>
  <si>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</si>
  <si>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</si>
  <si>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</si>
  <si>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</si>
  <si>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</si>
  <si>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</si>
  <si>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</si>
  <si>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</si>
  <si>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</si>
  <si>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</si>
  <si>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</si>
  <si>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</si>
  <si>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</si>
  <si>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</si>
  <si>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</si>
  <si>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</si>
  <si>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</si>
  <si>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</si>
  <si>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</si>
  <si>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</si>
  <si>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</si>
  <si>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</si>
  <si>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</si>
  <si>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</si>
  <si>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</si>
  <si>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</si>
  <si>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</si>
  <si>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</si>
  <si>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</si>
  <si>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</si>
  <si>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</si>
  <si>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</si>
  <si>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</si>
  <si>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</si>
  <si>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</si>
  <si>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</si>
  <si>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</si>
  <si>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</si>
  <si>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</si>
  <si>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</si>
  <si>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</si>
  <si>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</si>
  <si>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</si>
  <si>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</si>
  <si>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</si>
  <si>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</si>
  <si>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</si>
  <si>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</si>
  <si>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</si>
  <si>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</si>
  <si>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</si>
  <si>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</si>
  <si>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</si>
  <si>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</si>
  <si>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</si>
  <si>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</si>
  <si>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</si>
  <si>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</si>
  <si>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</si>
  <si>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</si>
  <si>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</si>
  <si>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</si>
  <si>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</si>
  <si>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</si>
  <si>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</si>
  <si>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</si>
  <si>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</si>
  <si>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</si>
  <si>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</si>
  <si>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</si>
  <si>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</si>
  <si>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</si>
  <si>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</si>
  <si>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</si>
  <si>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</si>
  <si>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</si>
  <si>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</si>
  <si>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</si>
  <si>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</si>
  <si>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</si>
  <si>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</si>
  <si>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</si>
  <si>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</si>
  <si>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</si>
  <si>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</si>
  <si>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</si>
  <si>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</si>
  <si>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</si>
  <si>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</si>
  <si>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</si>
  <si>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</si>
  <si>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</si>
  <si>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</si>
  <si>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</si>
  <si>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</si>
  <si>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</si>
  <si>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</si>
  <si>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</si>
  <si>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</si>
  <si>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</si>
  <si>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</si>
  <si>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</si>
  <si>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</si>
  <si>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</si>
  <si>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</si>
  <si>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</si>
  <si>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</si>
  <si>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</si>
  <si>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</si>
  <si>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</si>
  <si>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</si>
  <si>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</si>
  <si>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</si>
  <si>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</si>
  <si>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</si>
  <si>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</si>
  <si>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</si>
  <si>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</si>
  <si>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</si>
  <si>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</si>
  <si>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</si>
  <si>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</si>
  <si>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</si>
  <si>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</si>
  <si>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</si>
  <si>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</si>
  <si>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</si>
  <si>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</si>
  <si>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</si>
  <si>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</si>
  <si>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</si>
  <si>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</si>
  <si>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</si>
  <si>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</si>
  <si>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</si>
  <si>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</si>
  <si>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</si>
  <si>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</si>
  <si>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</si>
  <si>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</si>
  <si>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</si>
  <si>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</si>
  <si>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</si>
  <si>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</si>
  <si>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</si>
  <si>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</si>
  <si>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</si>
  <si>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</si>
  <si>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</si>
  <si>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</si>
  <si>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</si>
  <si>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</si>
  <si>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</si>
  <si>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</si>
  <si>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</si>
  <si>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</si>
  <si>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</si>
  <si>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</si>
  <si>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</si>
  <si>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</si>
  <si>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</si>
  <si>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</si>
  <si>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</si>
  <si>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</si>
  <si>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</si>
  <si>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</si>
  <si>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</si>
  <si>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</si>
  <si>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</si>
  <si>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</si>
  <si>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</si>
  <si>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</si>
  <si>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</si>
  <si>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</si>
  <si>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</si>
  <si>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</si>
  <si>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</si>
  <si>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</si>
  <si>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</si>
  <si>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</si>
  <si>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</si>
  <si>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</si>
  <si>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</si>
  <si>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</si>
  <si>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</si>
  <si>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</si>
  <si>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</si>
  <si>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</si>
  <si>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</si>
  <si>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</si>
  <si>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</si>
  <si>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</si>
  <si>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</si>
  <si>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</si>
  <si>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</si>
  <si>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</si>
  <si>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</si>
  <si>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</si>
  <si>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</si>
  <si>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</si>
  <si>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</si>
  <si>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</si>
  <si>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</si>
  <si>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</si>
  <si>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</si>
  <si>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</si>
  <si>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</si>
  <si>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</si>
  <si>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</si>
  <si>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</si>
  <si>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</si>
  <si>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</si>
  <si>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</si>
  <si>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</si>
  <si>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</si>
  <si>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</si>
  <si>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</si>
  <si>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</si>
  <si>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</si>
  <si>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</si>
  <si>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</si>
  <si>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</si>
  <si>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</si>
  <si>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</si>
  <si>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</si>
  <si>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</si>
  <si>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</si>
  <si>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</si>
  <si>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</si>
  <si>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</si>
  <si>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</si>
  <si>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</si>
  <si>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</si>
  <si>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</si>
  <si>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</si>
  <si>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</si>
  <si>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</si>
  <si>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</si>
  <si>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</si>
  <si>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</si>
  <si>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</si>
  <si>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</si>
  <si>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</si>
  <si>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</si>
  <si>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</si>
  <si>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</si>
  <si>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</si>
  <si>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</si>
  <si>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</si>
  <si>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</si>
  <si>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</si>
  <si>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</si>
  <si>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</si>
  <si>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</si>
  <si>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</si>
  <si>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</si>
  <si>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</si>
  <si>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</si>
  <si>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</si>
  <si>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</si>
  <si>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</si>
  <si>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</si>
  <si>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</si>
  <si>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</si>
  <si>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</si>
  <si>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</si>
  <si>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</si>
  <si>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</si>
  <si>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</si>
  <si>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</si>
  <si>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</si>
  <si>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</si>
  <si>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</si>
  <si>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</si>
  <si>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</si>
  <si>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</si>
  <si>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</si>
  <si>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</si>
  <si>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</si>
  <si>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</si>
  <si>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</si>
  <si>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</si>
  <si>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</si>
  <si>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</si>
  <si>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</si>
  <si>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</si>
  <si>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</si>
  <si>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</si>
  <si>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</si>
  <si>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</si>
  <si>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</si>
  <si>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</si>
  <si>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</si>
  <si>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</si>
  <si>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</si>
  <si>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</si>
  <si>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</si>
  <si>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</si>
  <si>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</si>
  <si>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</si>
  <si>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</si>
  <si>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</si>
  <si>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</si>
  <si>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</si>
  <si>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</si>
  <si>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</si>
  <si>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</si>
  <si>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</si>
  <si>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</si>
  <si>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</si>
  <si>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</si>
  <si>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</si>
  <si>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</si>
  <si>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</si>
  <si>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</si>
  <si>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</si>
  <si>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</si>
  <si>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</si>
  <si>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</si>
  <si>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</si>
  <si>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</si>
  <si>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</si>
  <si>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</si>
  <si>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</si>
  <si>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</si>
  <si>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</si>
  <si>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</si>
  <si>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</si>
  <si>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</si>
  <si>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</si>
  <si>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</si>
  <si>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</si>
  <si>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</si>
  <si>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</si>
  <si>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</si>
  <si>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</si>
  <si>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</si>
  <si>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</si>
  <si>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</si>
  <si>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</si>
  <si>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</si>
  <si>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</si>
  <si>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</si>
  <si>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</si>
  <si>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</si>
  <si>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</si>
  <si>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</si>
  <si>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</si>
  <si>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</si>
  <si>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</si>
  <si>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</si>
  <si>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</si>
  <si>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</si>
  <si>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</si>
  <si>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</si>
  <si>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</si>
  <si>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</si>
  <si>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</si>
  <si>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</si>
  <si>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</si>
  <si>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</si>
  <si>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</si>
  <si>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</si>
  <si>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</si>
  <si>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</si>
  <si>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</si>
  <si>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</si>
  <si>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</si>
  <si>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</si>
  <si>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</si>
  <si>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</si>
  <si>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</si>
  <si>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</si>
  <si>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</si>
  <si>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</si>
  <si>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</si>
  <si>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</si>
  <si>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</si>
  <si>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</si>
  <si>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</si>
  <si>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</si>
  <si>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</si>
  <si>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</si>
  <si>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</si>
  <si>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</si>
  <si>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</si>
  <si>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</si>
  <si>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</si>
  <si>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</si>
  <si>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</si>
  <si>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</si>
  <si>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</si>
  <si>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</si>
  <si>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</si>
  <si>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</si>
  <si>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</si>
  <si>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</si>
  <si>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</si>
  <si>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</si>
  <si>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</si>
  <si>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</si>
  <si>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</si>
  <si>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</si>
  <si>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</si>
  <si>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</si>
  <si>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</si>
  <si>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</si>
  <si>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</si>
  <si>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</si>
  <si>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</si>
  <si>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</si>
  <si>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</si>
  <si>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</si>
  <si>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</si>
  <si>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</si>
  <si>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</si>
  <si>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</si>
  <si>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</si>
  <si>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</si>
  <si>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</si>
  <si>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</si>
  <si>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</si>
  <si>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</si>
  <si>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</si>
  <si>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</si>
  <si>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</si>
  <si>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</si>
  <si>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</si>
  <si>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</si>
  <si>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</si>
  <si>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</si>
  <si>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</si>
  <si>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</si>
  <si>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</si>
  <si>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</si>
  <si>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</si>
  <si>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</si>
  <si>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</si>
  <si>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</si>
  <si>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</si>
  <si>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</si>
  <si>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</si>
  <si>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</si>
  <si>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</si>
  <si>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</si>
  <si>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</si>
  <si>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</si>
  <si>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</si>
  <si>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</si>
  <si>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</si>
  <si>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</si>
  <si>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</si>
  <si>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</si>
  <si>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</si>
  <si>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</si>
  <si>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</si>
  <si>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</si>
  <si>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</si>
  <si>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</si>
  <si>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</si>
  <si>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</si>
  <si>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</si>
  <si>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</si>
  <si>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</si>
  <si>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</si>
  <si>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</si>
  <si>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</si>
  <si>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</si>
  <si>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</si>
  <si>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</si>
  <si>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</si>
  <si>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</si>
  <si>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</si>
  <si>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</si>
  <si>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</si>
  <si>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</si>
  <si>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</si>
  <si>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</si>
  <si>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</si>
  <si>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</si>
  <si>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</si>
  <si>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</si>
  <si>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</si>
  <si>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</si>
  <si>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</si>
  <si>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</si>
  <si>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</si>
  <si>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</si>
  <si>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</si>
  <si>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</si>
  <si>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</si>
  <si>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</si>
  <si>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</si>
  <si>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</si>
  <si>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</si>
  <si>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</si>
  <si>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</si>
  <si>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</si>
  <si>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</si>
  <si>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</si>
  <si>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</si>
  <si>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</si>
  <si>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</si>
  <si>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</si>
  <si>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</si>
  <si>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</si>
  <si>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</si>
  <si>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</si>
  <si>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</si>
  <si>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</si>
  <si>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</si>
  <si>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</si>
  <si>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</si>
  <si>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</si>
  <si>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</si>
  <si>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</si>
  <si>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</si>
  <si>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</si>
  <si>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</si>
  <si>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</si>
  <si>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</si>
  <si>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</si>
  <si>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</si>
  <si>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</si>
  <si>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</si>
  <si>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</si>
  <si>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</si>
  <si>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</si>
  <si>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</si>
  <si>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</si>
  <si>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</si>
  <si>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</si>
  <si>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</si>
  <si>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</si>
  <si>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</si>
  <si>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</si>
  <si>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</si>
  <si>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</si>
  <si>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</si>
  <si>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</si>
  <si>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</si>
  <si>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</si>
  <si>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</si>
  <si>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</si>
  <si>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</si>
  <si>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</si>
  <si>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</si>
  <si>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</si>
  <si>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</si>
  <si>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</si>
  <si>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</si>
  <si>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</si>
  <si>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</si>
  <si>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</si>
  <si>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</si>
  <si>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</si>
  <si>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</si>
  <si>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</si>
  <si>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</si>
  <si>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</si>
  <si>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</si>
  <si>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</si>
  <si>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</si>
  <si>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</si>
  <si>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</si>
  <si>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</si>
  <si>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</si>
  <si>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</si>
  <si>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</si>
  <si>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</si>
  <si>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</si>
  <si>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</si>
  <si>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</si>
  <si>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</si>
  <si>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</si>
  <si>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</si>
  <si>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</si>
  <si>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</si>
  <si>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</si>
  <si>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</si>
  <si>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</si>
  <si>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</si>
  <si>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</si>
  <si>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</si>
  <si>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</si>
  <si>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</si>
  <si>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</si>
  <si>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</si>
  <si>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</si>
  <si>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</si>
  <si>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</si>
  <si>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</si>
  <si>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</si>
  <si>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</si>
  <si>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</si>
  <si>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</si>
  <si>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</si>
  <si>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</si>
  <si>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</si>
  <si>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</si>
  <si>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</si>
  <si>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</si>
  <si>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</si>
  <si>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</si>
  <si>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</si>
  <si>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</si>
  <si>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</si>
  <si>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</si>
  <si>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</si>
  <si>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</si>
  <si>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</si>
  <si>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</si>
  <si>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</si>
  <si>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</si>
  <si>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</si>
  <si>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</si>
  <si>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</si>
  <si>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</si>
  <si>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</si>
  <si>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</si>
  <si>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</si>
  <si>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</si>
  <si>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</si>
  <si>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</si>
  <si>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</si>
  <si>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</si>
  <si>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</si>
  <si>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</si>
  <si>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</si>
  <si>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</si>
  <si>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</si>
  <si>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</si>
  <si>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</si>
  <si>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</si>
  <si>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</si>
  <si>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</si>
  <si>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</si>
  <si>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</si>
  <si>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</si>
  <si>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</si>
  <si>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</si>
  <si>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</si>
  <si>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</si>
  <si>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</si>
  <si>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</si>
  <si>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</si>
  <si>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</si>
  <si>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</si>
  <si>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</si>
  <si>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</si>
  <si>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</si>
  <si>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</si>
  <si>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</si>
  <si>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</si>
  <si>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</si>
  <si>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</si>
  <si>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</si>
  <si>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</si>
  <si>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</si>
  <si>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</si>
  <si>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</si>
  <si>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</si>
  <si>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</si>
  <si>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</si>
  <si>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</si>
  <si>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</si>
  <si>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</si>
  <si>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</si>
  <si>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</si>
  <si>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</si>
  <si>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</si>
  <si>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</si>
  <si>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</si>
  <si>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</si>
  <si>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</si>
  <si>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</si>
  <si>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</si>
  <si>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</si>
  <si>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</si>
  <si>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</si>
  <si>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</si>
  <si>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</si>
  <si>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</si>
  <si>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</si>
  <si>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</si>
  <si>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</si>
  <si>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</si>
  <si>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</si>
  <si>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</si>
  <si>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</si>
  <si>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</si>
  <si>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</si>
  <si>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</si>
  <si>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</si>
  <si>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</si>
  <si>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</si>
  <si>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</si>
  <si>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</si>
  <si>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</si>
  <si>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</si>
  <si>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</si>
  <si>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</si>
  <si>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</si>
  <si>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</si>
  <si>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</si>
  <si>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</si>
  <si>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</si>
  <si>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</si>
  <si>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</si>
  <si>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</si>
  <si>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</si>
  <si>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</si>
  <si>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</si>
  <si>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</si>
  <si>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</si>
  <si>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</si>
  <si>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</si>
  <si>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</si>
  <si>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</si>
  <si>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</si>
  <si>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</si>
  <si>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</si>
  <si>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</si>
  <si>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</si>
  <si>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</si>
  <si>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</si>
  <si>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</si>
  <si>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</si>
  <si>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</si>
  <si>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</si>
  <si>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</si>
  <si>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</si>
  <si>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</si>
  <si>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</si>
  <si>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</si>
  <si>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</si>
  <si>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</si>
  <si>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</si>
  <si>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</si>
  <si>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</si>
  <si>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</si>
  <si>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</si>
  <si>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</si>
  <si>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</si>
  <si>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</si>
  <si>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</si>
  <si>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</si>
  <si>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</si>
  <si>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</si>
  <si>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</si>
  <si>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</si>
  <si>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</si>
  <si>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</si>
  <si>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</si>
  <si>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</si>
  <si>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</si>
  <si>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</si>
  <si>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</si>
  <si>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</si>
  <si>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</si>
  <si>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</si>
  <si>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</si>
  <si>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</si>
  <si>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</si>
  <si>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</si>
  <si>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</si>
  <si>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</si>
  <si>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</si>
  <si>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</si>
  <si>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</si>
  <si>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</si>
  <si>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</si>
  <si>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</si>
  <si>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</si>
  <si>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</si>
  <si>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</si>
  <si>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</si>
  <si>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</si>
  <si>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</si>
  <si>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</si>
  <si>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</si>
  <si>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</si>
  <si>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</si>
  <si>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</si>
  <si>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</si>
  <si>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</si>
  <si>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</si>
  <si>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</si>
  <si>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</si>
  <si>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</si>
  <si>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</si>
  <si>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</si>
  <si>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</si>
  <si>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</si>
  <si>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</si>
  <si>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</si>
  <si>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</si>
  <si>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</si>
  <si>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</si>
  <si>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</si>
  <si>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</si>
  <si>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</si>
  <si>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</si>
  <si>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</si>
  <si>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</si>
  <si>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</si>
  <si>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</si>
  <si>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</si>
  <si>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</si>
  <si>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</si>
  <si>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</si>
  <si>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</si>
  <si>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</si>
  <si>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</si>
  <si>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</si>
  <si>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</si>
  <si>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</si>
  <si>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</si>
  <si>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</si>
  <si>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</si>
  <si>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</si>
  <si>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</si>
  <si>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</si>
  <si>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</si>
  <si>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</si>
  <si>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</si>
  <si>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</si>
  <si>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</si>
  <si>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</si>
  <si>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</si>
  <si>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</si>
  <si>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</si>
  <si>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</si>
  <si>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</si>
  <si>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</si>
  <si>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</si>
  <si>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</si>
  <si>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</si>
  <si>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</si>
  <si>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</si>
  <si>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</si>
  <si>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</si>
  <si>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</si>
  <si>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</si>
  <si>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</si>
  <si>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</si>
  <si>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</si>
  <si>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</si>
  <si>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</si>
  <si>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</si>
  <si>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</si>
  <si>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</si>
  <si>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</si>
  <si>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</si>
  <si>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</si>
  <si>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</si>
  <si>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</si>
  <si>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</si>
  <si>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</si>
  <si>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</si>
  <si>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</si>
  <si>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</si>
  <si>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</si>
  <si>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</si>
  <si>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</si>
  <si>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</si>
  <si>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</si>
  <si>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</si>
  <si>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</si>
  <si>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</si>
  <si>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</si>
  <si>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</si>
  <si>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</si>
  <si>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</si>
  <si>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</si>
  <si>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</si>
  <si>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</si>
  <si>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</si>
  <si>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</si>
  <si>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</si>
  <si>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</si>
  <si>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</si>
  <si>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</si>
  <si>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</si>
  <si>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kagakubussitu@tdsjp.co.jp</t>
    <phoneticPr fontId="99"/>
  </si>
  <si>
    <t>TDS Co., Ltd.</t>
    <phoneticPr fontId="99"/>
  </si>
  <si>
    <t>Kazuaki Maruyama</t>
    <phoneticPr fontId="99"/>
  </si>
  <si>
    <t>+81-266-23-4504</t>
    <phoneticPr fontId="99"/>
  </si>
  <si>
    <t>Toshiya Yamamoto</t>
    <phoneticPr fontId="99"/>
  </si>
  <si>
    <t>2-5-5 Shinmei-cho, Okaya, Nagano 394-0004, JAPAN</t>
    <phoneticPr fontId="99"/>
  </si>
  <si>
    <t>ENGINEERING DEPARTMENT GENERAL MANAGER</t>
    <phoneticPr fontId="99"/>
  </si>
  <si>
    <t>B. Product (or List of Products)</t>
    <phoneticPr fontId="99"/>
  </si>
  <si>
    <t>No</t>
    <phoneticPr fontId="99"/>
  </si>
  <si>
    <t>Yes</t>
    <phoneticPr fontId="99"/>
  </si>
  <si>
    <t>Yes, in conformance with IPC1755 (e.g., CMRT)</t>
    <phoneticPr fontId="99"/>
  </si>
  <si>
    <t>Malaysia</t>
  </si>
  <si>
    <t>Peru</t>
  </si>
  <si>
    <t>Indonesia</t>
  </si>
  <si>
    <t>Indonesa</t>
  </si>
  <si>
    <t>Pulau Bangka, Bangka Belitung Islands</t>
  </si>
  <si>
    <t>Recycled , Scrap &amp; Tin</t>
  </si>
  <si>
    <t>TDS-06A-4023</t>
    <phoneticPr fontId="9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</si>
</sst>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 #,##0_-;\-* #,##0_-;_-* &quot;-&quot;_-;_-@_-"/>
    <numFmt numFmtId="173" formatCode="_-&quot;$&quot;* #,##0.00_-;\-&quot;$&quot;* #,##0.00_-;_-&quot;$&quot;* &quot;-&quot;??_-;_-@_-"/>
    <numFmt numFmtId="174" formatCode="_-* #,##0.00_-;\-* #,##0.00_-;_-* &quot;-&quot;??_-;_-@_-"/>
    <numFmt numFmtId="175" formatCode="_-* #,##0\ &quot;€&quot;_-;\-* #,##0\ &quot;€&quot;_-;_-* &quot;-&quot;\ &quot;€&quot;_-;_-@_-"/>
    <numFmt numFmtId="176" formatCode="_-* #,##0\ _€_-;\-* #,##0\ _€_-;_-* &quot;-&quot;\ _€_-;_-@_-"/>
    <numFmt numFmtId="177" formatCode="_-* #,##0.00\ &quot;€&quot;_-;\-* #,##0.00\ &quot;€&quot;_-;_-* &quot;-&quot;??\ &quot;€&quot;_-;_-@_-"/>
    <numFmt numFmtId="178" formatCode="_-* #,##0.00\ _€_-;\-* #,##0.00\ _€_-;_-* &quot;-&quot;??\ _€_-;_-@_-"/>
    <numFmt numFmtId="179" formatCode="_-&quot;€&quot;\ * #,##0_-;\-&quot;€&quot;\ * #,##0_-;_-&quot;€&quot;\ * &quot;-&quot;_-;_-@_-"/>
    <numFmt numFmtId="180" formatCode="_-&quot;€&quot;\ * #,##0.00_-;\-&quot;€&quot;\ * #,##0.00_-;_-&quot;€&quot;\ * &quot;-&quot;??_-;_-@_-"/>
  </numFmts>
  <fonts count="101">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sz val="6"/>
      <name val="ＭＳ Ｐゴシック"/>
      <family val="3"/>
      <charset val="128"/>
    </font>
    <font>
      <sz val="12"/>
      <name val="游ゴシック"/>
      <family val="1"/>
      <charset val="128"/>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172"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179"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66"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463">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8"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8" fontId="0" fillId="33" borderId="13" xfId="0" applyNumberFormat="1" applyFont="1" applyFill="1" applyBorder="1" applyAlignment="1">
      <alignment vertical="top" wrapText="1"/>
    </xf>
    <xf numFmtId="168" fontId="0" fillId="33" borderId="0" xfId="0" applyNumberFormat="1" applyFont="1" applyFill="1" applyBorder="1" applyAlignment="1"/>
    <xf numFmtId="168" fontId="9" fillId="33" borderId="0" xfId="0" applyNumberFormat="1" applyFont="1" applyFill="1" applyBorder="1"/>
    <xf numFmtId="168" fontId="14" fillId="33" borderId="0" xfId="0" applyNumberFormat="1" applyFont="1" applyFill="1" applyBorder="1" applyAlignment="1">
      <alignment horizontal="center" vertical="center" wrapText="1"/>
    </xf>
    <xf numFmtId="168" fontId="11" fillId="33" borderId="0" xfId="0" applyNumberFormat="1" applyFont="1" applyFill="1" applyBorder="1" applyAlignment="1">
      <alignment horizontal="center" vertical="center"/>
    </xf>
    <xf numFmtId="168" fontId="0" fillId="33" borderId="0" xfId="0" applyNumberFormat="1" applyFont="1" applyFill="1" applyBorder="1"/>
    <xf numFmtId="168" fontId="27" fillId="33" borderId="20" xfId="570" applyNumberFormat="1" applyFont="1" applyFill="1" applyBorder="1" applyAlignment="1">
      <alignment horizontal="center" vertical="center" wrapText="1"/>
    </xf>
    <xf numFmtId="168" fontId="0" fillId="0" borderId="0" xfId="0" applyNumberFormat="1" applyFont="1" applyFill="1" applyBorder="1"/>
    <xf numFmtId="168"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70"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8" fontId="53" fillId="0" borderId="0" xfId="480" applyFont="1" applyFill="1" applyAlignment="1">
      <alignment horizontal="left" vertical="top" wrapText="1"/>
    </xf>
    <xf numFmtId="168"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8"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8"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8" fontId="53" fillId="0" borderId="0" xfId="480" applyFont="1" applyFill="1" applyBorder="1" applyAlignment="1">
      <alignment vertical="top" wrapText="1"/>
    </xf>
    <xf numFmtId="0" fontId="94" fillId="0" borderId="0" xfId="0" applyFont="1"/>
    <xf numFmtId="168"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8"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6" fillId="0" borderId="0" xfId="0" applyFont="1" applyFill="1" applyProtection="1">
      <protection locked="0"/>
    </xf>
    <xf numFmtId="168" fontId="25" fillId="0" borderId="48" xfId="570" applyNumberFormat="1" applyFont="1" applyFill="1" applyBorder="1" applyAlignment="1">
      <alignment horizontal="center" vertical="top" wrapText="1"/>
    </xf>
    <xf numFmtId="168" fontId="25" fillId="0" borderId="49" xfId="570" applyNumberFormat="1" applyFont="1" applyFill="1" applyBorder="1" applyAlignment="1">
      <alignment horizontal="center" vertical="top" wrapText="1"/>
    </xf>
    <xf numFmtId="168"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00"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100" fillId="33" borderId="61" xfId="0" applyNumberFormat="1" applyFont="1" applyFill="1" applyBorder="1" applyAlignment="1" applyProtection="1">
      <alignment horizontal="left" vertical="center" wrapText="1"/>
      <protection locked="0"/>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center" vertical="center"/>
    </xf>
    <xf numFmtId="0" fontId="11" fillId="33" borderId="10" xfId="0" applyFont="1" applyFill="1" applyBorder="1" applyAlignment="1" applyProtection="1">
      <alignment horizontal="left" vertical="center" wrapText="1"/>
    </xf>
    <xf numFmtId="0" fontId="0" fillId="0" borderId="61" xfId="0" applyFont="1"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5">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kagakubussitu@tdsjp.co.jp"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kagakubussitu@tdsjp.co.jp"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workbookViewId="0">
      <pane xSplit="1" ySplit="11" topLeftCell="B55" activePane="bottomRight" state="frozen"/>
      <selection activeCell="A4" sqref="A4"/>
      <selection pane="topRight" activeCell="A4" sqref="A4"/>
      <selection pane="bottomLeft" activeCell="A4" sqref="A4"/>
      <selection pane="bottomRight" activeCell="J54" sqref="J54"/>
    </sheetView>
  </sheetViews>
  <sheetFormatPr baseColWidth="10" defaultColWidth="9" defaultRowHeight="12.6"/>
  <cols>
    <col min="1" max="1" width="0.90625" style="110" customWidth="1"/>
    <col min="2" max="2" width="8" style="110" customWidth="1"/>
    <col min="3" max="3" width="8.6328125" style="110" customWidth="1"/>
    <col min="4" max="4" width="13" style="206" customWidth="1"/>
    <col min="5" max="5" width="42.36328125" style="110" customWidth="1"/>
    <col min="6" max="6" width="53.36328125" style="110" customWidth="1"/>
    <col min="7" max="7" width="0.90625" style="110" customWidth="1"/>
    <col min="8" max="16384" width="9" style="110"/>
  </cols>
  <sheetData>
    <row r="1" spans="1:7" ht="13.2" thickTop="1">
      <c r="A1" s="9"/>
      <c r="B1" s="10"/>
      <c r="C1" s="10"/>
      <c r="D1" s="198"/>
      <c r="E1" s="10"/>
      <c r="F1" s="10"/>
      <c r="G1" s="11"/>
    </row>
    <row r="2" spans="1:7">
      <c r="A2" s="362"/>
      <c r="B2" s="35" t="s">
        <v>847</v>
      </c>
      <c r="C2" s="33"/>
      <c r="D2" s="199"/>
      <c r="E2" s="3"/>
      <c r="F2" s="33"/>
      <c r="G2" s="31"/>
    </row>
    <row r="3" spans="1:7">
      <c r="A3" s="362"/>
      <c r="B3" s="5" t="s">
        <v>839</v>
      </c>
      <c r="C3" s="6"/>
      <c r="D3" s="200"/>
      <c r="E3" s="3"/>
      <c r="F3" s="6"/>
      <c r="G3" s="31"/>
    </row>
    <row r="4" spans="1:7" ht="15">
      <c r="A4" s="362"/>
      <c r="B4" s="38" t="s">
        <v>849</v>
      </c>
      <c r="C4" s="7"/>
      <c r="D4" s="201"/>
      <c r="E4" s="3"/>
      <c r="F4" s="7"/>
      <c r="G4" s="31"/>
    </row>
    <row r="5" spans="1:7" ht="13.2">
      <c r="A5" s="362"/>
      <c r="B5" s="37" t="s">
        <v>1040</v>
      </c>
      <c r="C5" s="4"/>
      <c r="D5" s="202"/>
      <c r="E5" s="3"/>
      <c r="F5" s="4"/>
      <c r="G5" s="31"/>
    </row>
    <row r="6" spans="1:7">
      <c r="A6" s="362"/>
      <c r="B6" s="8"/>
      <c r="C6" s="8"/>
      <c r="D6" s="203"/>
      <c r="E6" s="8"/>
      <c r="F6" s="8"/>
      <c r="G6" s="31"/>
    </row>
    <row r="7" spans="1:7">
      <c r="A7" s="362"/>
      <c r="B7" s="8"/>
      <c r="C7" s="8"/>
      <c r="D7" s="203"/>
      <c r="E7" s="8"/>
      <c r="F7" s="8"/>
      <c r="G7" s="31"/>
    </row>
    <row r="8" spans="1:7">
      <c r="A8" s="362"/>
      <c r="B8" s="8"/>
      <c r="C8" s="8"/>
      <c r="D8" s="203"/>
      <c r="E8" s="8"/>
      <c r="F8" s="8"/>
      <c r="G8" s="31"/>
    </row>
    <row r="9" spans="1:7">
      <c r="A9" s="362"/>
      <c r="B9" s="365" t="s">
        <v>850</v>
      </c>
      <c r="C9" s="365"/>
      <c r="D9" s="365"/>
      <c r="E9" s="365"/>
      <c r="F9" s="365"/>
      <c r="G9" s="31"/>
    </row>
    <row r="10" spans="1:7" ht="27" customHeight="1">
      <c r="A10" s="362"/>
      <c r="B10" s="366" t="s">
        <v>438</v>
      </c>
      <c r="C10" s="366"/>
      <c r="D10" s="366"/>
      <c r="E10" s="366"/>
      <c r="F10" s="366"/>
      <c r="G10" s="31"/>
    </row>
    <row r="11" spans="1:7" ht="27" customHeight="1">
      <c r="A11" s="362"/>
      <c r="B11" s="367"/>
      <c r="C11" s="367"/>
      <c r="D11" s="367"/>
      <c r="E11" s="367"/>
      <c r="F11" s="367"/>
      <c r="G11" s="31"/>
    </row>
    <row r="12" spans="1:7">
      <c r="A12" s="362"/>
      <c r="B12" s="39" t="s">
        <v>848</v>
      </c>
      <c r="C12" s="40" t="s">
        <v>851</v>
      </c>
      <c r="D12" s="204" t="s">
        <v>852</v>
      </c>
      <c r="E12" s="40" t="s">
        <v>612</v>
      </c>
      <c r="F12" s="40" t="s">
        <v>613</v>
      </c>
      <c r="G12" s="31"/>
    </row>
    <row r="13" spans="1:7" ht="20.399999999999999">
      <c r="A13" s="362"/>
      <c r="B13" s="2">
        <v>1</v>
      </c>
      <c r="C13" s="34" t="s">
        <v>1088</v>
      </c>
      <c r="D13" s="36" t="s">
        <v>876</v>
      </c>
      <c r="E13" s="187" t="s">
        <v>853</v>
      </c>
      <c r="F13" s="187"/>
      <c r="G13" s="31"/>
    </row>
    <row r="14" spans="1:7" ht="30.6">
      <c r="A14" s="362"/>
      <c r="B14" s="2">
        <v>2</v>
      </c>
      <c r="C14" s="34" t="s">
        <v>1088</v>
      </c>
      <c r="D14" s="36" t="s">
        <v>1025</v>
      </c>
      <c r="E14" s="187" t="s">
        <v>530</v>
      </c>
      <c r="F14" s="187" t="s">
        <v>531</v>
      </c>
      <c r="G14" s="31"/>
    </row>
    <row r="15" spans="1:7" ht="89.1" customHeight="1">
      <c r="A15" s="362"/>
      <c r="B15" s="368">
        <v>2.0099999999999998</v>
      </c>
      <c r="C15" s="359" t="s">
        <v>1088</v>
      </c>
      <c r="D15" s="371" t="s">
        <v>2263</v>
      </c>
      <c r="E15" s="188" t="s">
        <v>614</v>
      </c>
      <c r="F15" s="188" t="s">
        <v>617</v>
      </c>
      <c r="G15" s="31"/>
    </row>
    <row r="16" spans="1:7" ht="99" customHeight="1">
      <c r="A16" s="362"/>
      <c r="B16" s="369"/>
      <c r="C16" s="360"/>
      <c r="D16" s="372"/>
      <c r="E16" s="189"/>
      <c r="F16" s="189" t="s">
        <v>615</v>
      </c>
      <c r="G16" s="31"/>
    </row>
    <row r="17" spans="1:7" ht="63" customHeight="1">
      <c r="A17" s="362"/>
      <c r="B17" s="370"/>
      <c r="C17" s="361"/>
      <c r="D17" s="373"/>
      <c r="E17" s="34"/>
      <c r="F17" s="34" t="s">
        <v>616</v>
      </c>
      <c r="G17" s="31"/>
    </row>
    <row r="18" spans="1:7" ht="117" customHeight="1">
      <c r="A18" s="362"/>
      <c r="B18" s="368">
        <v>2.02</v>
      </c>
      <c r="C18" s="359" t="s">
        <v>1088</v>
      </c>
      <c r="D18" s="371" t="s">
        <v>2264</v>
      </c>
      <c r="E18" s="188" t="s">
        <v>439</v>
      </c>
      <c r="F18" s="188" t="s">
        <v>525</v>
      </c>
      <c r="G18" s="31"/>
    </row>
    <row r="19" spans="1:7" ht="71.099999999999994" customHeight="1">
      <c r="A19" s="362"/>
      <c r="B19" s="369"/>
      <c r="C19" s="360"/>
      <c r="D19" s="372"/>
      <c r="E19" s="189" t="s">
        <v>529</v>
      </c>
      <c r="F19" s="189" t="s">
        <v>440</v>
      </c>
      <c r="G19" s="31"/>
    </row>
    <row r="20" spans="1:7" ht="90.75" customHeight="1">
      <c r="A20" s="362"/>
      <c r="B20" s="369"/>
      <c r="C20" s="360"/>
      <c r="D20" s="372"/>
      <c r="E20" s="189"/>
      <c r="F20" s="189" t="s">
        <v>619</v>
      </c>
      <c r="G20" s="31"/>
    </row>
    <row r="21" spans="1:7" ht="74.25" customHeight="1">
      <c r="A21" s="362"/>
      <c r="B21" s="370"/>
      <c r="C21" s="361"/>
      <c r="D21" s="373"/>
      <c r="E21" s="34"/>
      <c r="F21" s="34" t="s">
        <v>618</v>
      </c>
      <c r="G21" s="31"/>
    </row>
    <row r="22" spans="1:7" ht="90" customHeight="1">
      <c r="A22" s="362"/>
      <c r="B22" s="377">
        <v>2.0299999999999998</v>
      </c>
      <c r="C22" s="377" t="s">
        <v>822</v>
      </c>
      <c r="D22" s="356" t="s">
        <v>2265</v>
      </c>
      <c r="E22" s="359" t="s">
        <v>437</v>
      </c>
      <c r="F22" s="188" t="s">
        <v>460</v>
      </c>
      <c r="G22" s="31"/>
    </row>
    <row r="23" spans="1:7" ht="109.5" customHeight="1">
      <c r="A23" s="362"/>
      <c r="B23" s="378"/>
      <c r="C23" s="378"/>
      <c r="D23" s="357"/>
      <c r="E23" s="360"/>
      <c r="F23" s="189" t="s">
        <v>823</v>
      </c>
      <c r="G23" s="31"/>
    </row>
    <row r="24" spans="1:7" ht="74.25" customHeight="1">
      <c r="A24" s="362"/>
      <c r="B24" s="379"/>
      <c r="C24" s="379"/>
      <c r="D24" s="358"/>
      <c r="E24" s="361"/>
      <c r="F24" s="34" t="s">
        <v>436</v>
      </c>
      <c r="G24" s="31"/>
    </row>
    <row r="25" spans="1:7" ht="72" customHeight="1">
      <c r="A25" s="362"/>
      <c r="B25" s="2" t="s">
        <v>458</v>
      </c>
      <c r="C25" s="34" t="s">
        <v>459</v>
      </c>
      <c r="D25" s="36" t="s">
        <v>2266</v>
      </c>
      <c r="E25" s="34" t="s">
        <v>2261</v>
      </c>
      <c r="F25" s="34" t="s">
        <v>461</v>
      </c>
      <c r="G25" s="31"/>
    </row>
    <row r="26" spans="1:7" ht="98.1" customHeight="1">
      <c r="A26" s="362"/>
      <c r="B26" s="374">
        <v>3</v>
      </c>
      <c r="C26" s="368" t="s">
        <v>70</v>
      </c>
      <c r="D26" s="371" t="s">
        <v>2267</v>
      </c>
      <c r="E26" s="359" t="s">
        <v>0</v>
      </c>
      <c r="F26" s="188" t="s">
        <v>64</v>
      </c>
      <c r="G26" s="31"/>
    </row>
    <row r="27" spans="1:7" ht="90" customHeight="1">
      <c r="A27" s="362"/>
      <c r="B27" s="375"/>
      <c r="C27" s="369"/>
      <c r="D27" s="372"/>
      <c r="E27" s="360"/>
      <c r="F27" s="189" t="s">
        <v>59</v>
      </c>
      <c r="G27" s="31"/>
    </row>
    <row r="28" spans="1:7" ht="19.350000000000001" customHeight="1">
      <c r="A28" s="362"/>
      <c r="B28" s="375"/>
      <c r="C28" s="369"/>
      <c r="D28" s="372"/>
      <c r="E28" s="360"/>
      <c r="F28" s="189" t="s">
        <v>60</v>
      </c>
      <c r="G28" s="31"/>
    </row>
    <row r="29" spans="1:7" ht="74.7" customHeight="1">
      <c r="A29" s="362"/>
      <c r="B29" s="375"/>
      <c r="C29" s="369"/>
      <c r="D29" s="372"/>
      <c r="E29" s="360"/>
      <c r="F29" s="189" t="s">
        <v>61</v>
      </c>
      <c r="G29" s="31"/>
    </row>
    <row r="30" spans="1:7" ht="62.7" customHeight="1">
      <c r="A30" s="362"/>
      <c r="B30" s="375"/>
      <c r="C30" s="369"/>
      <c r="D30" s="372"/>
      <c r="E30" s="360"/>
      <c r="F30" s="189" t="s">
        <v>62</v>
      </c>
      <c r="G30" s="31"/>
    </row>
    <row r="31" spans="1:7" ht="81" customHeight="1">
      <c r="A31" s="362"/>
      <c r="B31" s="375"/>
      <c r="C31" s="369"/>
      <c r="D31" s="372"/>
      <c r="E31" s="360"/>
      <c r="F31" s="189" t="s">
        <v>63</v>
      </c>
      <c r="G31" s="31"/>
    </row>
    <row r="32" spans="1:7" ht="48.75" customHeight="1">
      <c r="A32" s="362"/>
      <c r="B32" s="375"/>
      <c r="C32" s="369"/>
      <c r="D32" s="372"/>
      <c r="E32" s="360"/>
      <c r="F32" s="189" t="s">
        <v>66</v>
      </c>
      <c r="G32" s="31"/>
    </row>
    <row r="33" spans="1:7" ht="98.7" customHeight="1">
      <c r="A33" s="362"/>
      <c r="B33" s="375"/>
      <c r="C33" s="369"/>
      <c r="D33" s="372"/>
      <c r="E33" s="360"/>
      <c r="F33" s="189" t="s">
        <v>65</v>
      </c>
      <c r="G33" s="31"/>
    </row>
    <row r="34" spans="1:7" ht="89.1" customHeight="1">
      <c r="A34" s="362"/>
      <c r="B34" s="375"/>
      <c r="C34" s="369"/>
      <c r="D34" s="372"/>
      <c r="E34" s="360"/>
      <c r="F34" s="189" t="s">
        <v>67</v>
      </c>
      <c r="G34" s="31"/>
    </row>
    <row r="35" spans="1:7" ht="29.1" customHeight="1">
      <c r="A35" s="362"/>
      <c r="B35" s="375"/>
      <c r="C35" s="369"/>
      <c r="D35" s="372"/>
      <c r="E35" s="360"/>
      <c r="F35" s="189" t="s">
        <v>68</v>
      </c>
      <c r="G35" s="31"/>
    </row>
    <row r="36" spans="1:7" ht="112.2">
      <c r="A36" s="362"/>
      <c r="B36" s="376"/>
      <c r="C36" s="370"/>
      <c r="D36" s="373"/>
      <c r="E36" s="361"/>
      <c r="F36" s="190" t="s">
        <v>69</v>
      </c>
      <c r="G36" s="31"/>
    </row>
    <row r="37" spans="1:7" ht="102">
      <c r="A37" s="362"/>
      <c r="B37" s="163">
        <v>3.01</v>
      </c>
      <c r="C37" s="164" t="s">
        <v>70</v>
      </c>
      <c r="D37" s="36" t="s">
        <v>2268</v>
      </c>
      <c r="E37" s="191" t="s">
        <v>1328</v>
      </c>
      <c r="F37" s="192" t="s">
        <v>1434</v>
      </c>
      <c r="G37" s="31"/>
    </row>
    <row r="38" spans="1:7" ht="81.599999999999994">
      <c r="A38" s="362"/>
      <c r="B38" s="163">
        <v>3.02</v>
      </c>
      <c r="C38" s="164" t="s">
        <v>1361</v>
      </c>
      <c r="D38" s="36" t="s">
        <v>2269</v>
      </c>
      <c r="E38" s="191" t="s">
        <v>1376</v>
      </c>
      <c r="F38" s="192" t="s">
        <v>1435</v>
      </c>
      <c r="G38" s="31"/>
    </row>
    <row r="39" spans="1:7" ht="81.599999999999994">
      <c r="A39" s="362"/>
      <c r="B39" s="173">
        <v>4</v>
      </c>
      <c r="C39" s="172" t="s">
        <v>1531</v>
      </c>
      <c r="D39" s="36" t="s">
        <v>2270</v>
      </c>
      <c r="E39" s="34" t="s">
        <v>2213</v>
      </c>
      <c r="F39" s="34" t="s">
        <v>1532</v>
      </c>
      <c r="G39" s="31"/>
    </row>
    <row r="40" spans="1:7" ht="40.799999999999997">
      <c r="A40" s="362"/>
      <c r="B40" s="163">
        <v>4.01</v>
      </c>
      <c r="C40" s="172" t="s">
        <v>1531</v>
      </c>
      <c r="D40" s="36" t="s">
        <v>2272</v>
      </c>
      <c r="E40" s="34" t="s">
        <v>2227</v>
      </c>
      <c r="F40" s="34" t="s">
        <v>2231</v>
      </c>
      <c r="G40" s="31"/>
    </row>
    <row r="41" spans="1:7" ht="40.799999999999997">
      <c r="A41" s="362"/>
      <c r="B41" s="163" t="s">
        <v>2259</v>
      </c>
      <c r="C41" s="172" t="s">
        <v>1531</v>
      </c>
      <c r="D41" s="36" t="s">
        <v>2271</v>
      </c>
      <c r="E41" s="34" t="s">
        <v>2262</v>
      </c>
      <c r="F41" s="34" t="s">
        <v>2260</v>
      </c>
      <c r="G41" s="31"/>
    </row>
    <row r="42" spans="1:7" ht="40.799999999999997">
      <c r="A42" s="362"/>
      <c r="B42" s="163" t="s">
        <v>2295</v>
      </c>
      <c r="C42" s="172" t="s">
        <v>1531</v>
      </c>
      <c r="D42" s="36" t="s">
        <v>2302</v>
      </c>
      <c r="E42" s="34" t="s">
        <v>2261</v>
      </c>
      <c r="F42" s="34" t="s">
        <v>2296</v>
      </c>
      <c r="G42" s="31"/>
    </row>
    <row r="43" spans="1:7" ht="112.2">
      <c r="A43" s="362"/>
      <c r="B43" s="184">
        <v>4.0999999999999996</v>
      </c>
      <c r="C43" s="172" t="s">
        <v>2301</v>
      </c>
      <c r="D43" s="185">
        <v>42867</v>
      </c>
      <c r="E43" s="193" t="s">
        <v>2304</v>
      </c>
      <c r="F43" s="34" t="s">
        <v>2303</v>
      </c>
      <c r="G43" s="31"/>
    </row>
    <row r="44" spans="1:7" ht="71.400000000000006">
      <c r="A44" s="362"/>
      <c r="B44" s="184">
        <v>4.2</v>
      </c>
      <c r="C44" s="172" t="s">
        <v>2301</v>
      </c>
      <c r="D44" s="185">
        <v>42704</v>
      </c>
      <c r="E44" s="193" t="s">
        <v>2503</v>
      </c>
      <c r="F44" s="34" t="s">
        <v>2478</v>
      </c>
      <c r="G44" s="31"/>
    </row>
    <row r="45" spans="1:7" ht="132.6">
      <c r="A45" s="362"/>
      <c r="B45" s="233">
        <v>5</v>
      </c>
      <c r="C45" s="172" t="s">
        <v>2301</v>
      </c>
      <c r="D45" s="185">
        <v>42867</v>
      </c>
      <c r="E45" s="193" t="s">
        <v>12784</v>
      </c>
      <c r="F45" s="34" t="s">
        <v>12506</v>
      </c>
      <c r="G45" s="31"/>
    </row>
    <row r="46" spans="1:7" ht="30.6">
      <c r="A46" s="362"/>
      <c r="B46" s="184">
        <v>5.01</v>
      </c>
      <c r="C46" s="172" t="s">
        <v>2301</v>
      </c>
      <c r="D46" s="185">
        <v>42907</v>
      </c>
      <c r="E46" s="193" t="s">
        <v>15650</v>
      </c>
      <c r="F46" s="34" t="s">
        <v>12506</v>
      </c>
      <c r="G46" s="31"/>
    </row>
    <row r="47" spans="1:7" ht="61.2">
      <c r="A47" s="362"/>
      <c r="B47" s="184">
        <v>5.0999999999999996</v>
      </c>
      <c r="C47" s="172" t="s">
        <v>2301</v>
      </c>
      <c r="D47" s="185">
        <v>43070</v>
      </c>
      <c r="E47" s="193" t="s">
        <v>12994</v>
      </c>
      <c r="F47" s="34" t="s">
        <v>12995</v>
      </c>
      <c r="G47" s="31"/>
    </row>
    <row r="48" spans="1:7" ht="51">
      <c r="A48" s="362"/>
      <c r="B48" s="184">
        <v>5.1100000000000003</v>
      </c>
      <c r="C48" s="172" t="s">
        <v>13232</v>
      </c>
      <c r="D48" s="185">
        <v>43217</v>
      </c>
      <c r="E48" s="193" t="s">
        <v>13358</v>
      </c>
      <c r="F48" s="34" t="s">
        <v>13266</v>
      </c>
      <c r="G48" s="31"/>
    </row>
    <row r="49" spans="1:7" ht="51">
      <c r="A49" s="362"/>
      <c r="B49" s="184">
        <v>5.12</v>
      </c>
      <c r="C49" s="172" t="s">
        <v>13232</v>
      </c>
      <c r="D49" s="185">
        <v>43581</v>
      </c>
      <c r="E49" s="193" t="s">
        <v>13358</v>
      </c>
      <c r="F49" s="34" t="s">
        <v>13920</v>
      </c>
      <c r="G49" s="31"/>
    </row>
    <row r="50" spans="1:7" ht="71.400000000000006">
      <c r="A50" s="362"/>
      <c r="B50" s="233">
        <v>6</v>
      </c>
      <c r="C50" s="172" t="s">
        <v>13232</v>
      </c>
      <c r="D50" s="185">
        <v>43964</v>
      </c>
      <c r="E50" s="193" t="s">
        <v>14138</v>
      </c>
      <c r="F50" s="34" t="s">
        <v>13925</v>
      </c>
      <c r="G50" s="31"/>
    </row>
    <row r="51" spans="1:7" ht="40.799999999999997">
      <c r="A51" s="362"/>
      <c r="B51" s="184">
        <v>6.01</v>
      </c>
      <c r="C51" s="172" t="s">
        <v>13232</v>
      </c>
      <c r="D51" s="185">
        <v>43970</v>
      </c>
      <c r="E51" s="193" t="s">
        <v>15651</v>
      </c>
      <c r="F51" s="193" t="s">
        <v>13925</v>
      </c>
      <c r="G51" s="31"/>
    </row>
    <row r="52" spans="1:7" ht="40.799999999999997">
      <c r="A52" s="362"/>
      <c r="B52" s="184">
        <v>6.1</v>
      </c>
      <c r="C52" s="172" t="s">
        <v>13232</v>
      </c>
      <c r="D52" s="185">
        <v>44314</v>
      </c>
      <c r="E52" s="193" t="s">
        <v>15631</v>
      </c>
      <c r="F52" s="193" t="s">
        <v>15144</v>
      </c>
      <c r="G52" s="31"/>
    </row>
    <row r="53" spans="1:7" ht="40.799999999999997">
      <c r="A53" s="362"/>
      <c r="B53" s="184">
        <v>6.2</v>
      </c>
      <c r="C53" s="172" t="s">
        <v>13232</v>
      </c>
      <c r="D53" s="185">
        <v>44678</v>
      </c>
      <c r="E53" s="193" t="s">
        <v>15631</v>
      </c>
      <c r="F53" s="193" t="s">
        <v>15624</v>
      </c>
      <c r="G53" s="31"/>
    </row>
    <row r="54" spans="1:7" ht="40.799999999999997">
      <c r="A54" s="362"/>
      <c r="B54" s="184">
        <v>6.21</v>
      </c>
      <c r="C54" s="172" t="s">
        <v>13232</v>
      </c>
      <c r="D54" s="185">
        <v>44687</v>
      </c>
      <c r="E54" s="193" t="s">
        <v>15652</v>
      </c>
      <c r="F54" s="193" t="s">
        <v>15624</v>
      </c>
      <c r="G54" s="31"/>
    </row>
    <row r="55" spans="1:7" ht="40.799999999999997">
      <c r="A55" s="362"/>
      <c r="B55" s="184">
        <v>6.22</v>
      </c>
      <c r="C55" s="172" t="s">
        <v>13232</v>
      </c>
      <c r="D55" s="348">
        <v>44692</v>
      </c>
      <c r="E55" s="193" t="s">
        <v>15651</v>
      </c>
      <c r="F55" s="193" t="s">
        <v>15624</v>
      </c>
      <c r="G55" s="31"/>
    </row>
    <row r="56" spans="1:7" ht="13.2" thickBot="1">
      <c r="A56" s="363"/>
      <c r="B56" s="364" t="str">
        <f ca="1">OFFSET(L!$C$1,MATCH("General"&amp;"Cpy",L!$A:$A,0)-1,SL,,)</f>
        <v>© 2022 Responsible Minerals Initiative. All rights reserved.</v>
      </c>
      <c r="C56" s="364"/>
      <c r="D56" s="364"/>
      <c r="E56" s="364"/>
      <c r="F56" s="364"/>
      <c r="G56" s="32"/>
    </row>
    <row r="57" spans="1:7" ht="13.2" thickTop="1">
      <c r="A57" s="113"/>
      <c r="B57" s="114"/>
      <c r="C57" s="114"/>
      <c r="D57" s="205"/>
      <c r="E57" s="114"/>
      <c r="F57" s="114"/>
      <c r="G57" s="114"/>
    </row>
  </sheetData>
  <sheetProtection algorithmName="SHA-512" hashValue="yGuDoUsr3RKMegqFhb7CdGGeNkAVkd1Ym2efo6t4Wwap40taBuxlwyXgku11cjtIn7O3c7cvSwqrSaJfQKr4/A==" saltValue="QH1cqD6rZX7uTmil9ueTx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B22:B24"/>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s>
  <phoneticPr fontId="99"/>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90625" defaultRowHeight="12.6"/>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442</v>
      </c>
    </row>
    <row r="2" spans="1:2" ht="32.4">
      <c r="A2" s="118" t="str">
        <f ca="1">OFFSET(L!$C$1,MATCH("Instructions"&amp;ADDRESS(ROW(),COLUMN(),4),L!$A:$A,0)-1,SL,,)</f>
        <v>Introduction</v>
      </c>
      <c r="B2" s="111" t="s">
        <v>1304</v>
      </c>
    </row>
    <row r="3" spans="1:2" ht="162">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1305</v>
      </c>
    </row>
    <row r="4" spans="1:2" ht="222.6"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1311</v>
      </c>
    </row>
    <row r="5" spans="1:2" ht="16.2">
      <c r="A5" s="119"/>
      <c r="B5" s="111"/>
    </row>
    <row r="6" spans="1:2" ht="32.4">
      <c r="A6" s="118" t="str">
        <f ca="1">OFFSET(L!$C$1,MATCH("Instructions"&amp;ADDRESS(ROW(),COLUMN(),4),L!$A:$A,0)-1,SL,,)</f>
        <v>Instructions for completing Company Information questions (rows 8 - 22).
Provide comments in ENGLISH only</v>
      </c>
      <c r="B6" s="111" t="s">
        <v>1304</v>
      </c>
    </row>
    <row r="7" spans="1:2" ht="16.2">
      <c r="A7" s="281" t="str">
        <f ca="1">OFFSET(L!$C$1,MATCH("Instructions"&amp;ADDRESS(ROW(),COLUMN(),4),L!$A:$A,0)-1,SL,,)</f>
        <v xml:space="preserve">Note:  Entries with (*) are mandatory fields. </v>
      </c>
      <c r="B7" s="111"/>
    </row>
    <row r="8" spans="1:2" ht="32.4">
      <c r="A8" s="115" t="str">
        <f ca="1">OFFSET(L!$C$1,MATCH("Instructions"&amp;ADDRESS(ROW(),COLUMN(),4),L!$A:$A,0)-1,SL,,)</f>
        <v>1. Insert your company's Legal Name.  Please do not use abbreviations. In this field you have the option to add other commercial names, DBAs, etc.</v>
      </c>
      <c r="B8" s="111"/>
    </row>
    <row r="9" spans="1:2" ht="405.6" customHeight="1">
      <c r="A9" s="16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1303</v>
      </c>
    </row>
    <row r="10" spans="1:2" ht="36" customHeight="1">
      <c r="A10" s="115" t="str">
        <f ca="1">OFFSET(L!$C$1,MATCH("Instructions"&amp;ADDRESS(ROW(),COLUMN(),4),L!$A:$A,0)-1,SL,,)</f>
        <v>3. Insert your company’s unique identifier number or code (DUNS number, VAT number, customer-specific identifier, etc.)</v>
      </c>
      <c r="B10" s="111"/>
    </row>
    <row r="11" spans="1:2" ht="35.25" customHeight="1">
      <c r="A11" s="115" t="str">
        <f ca="1">OFFSET(L!$C$1,MATCH("Instructions"&amp;ADDRESS(ROW(),COLUMN(),4),L!$A:$A,0)-1,SL,,)</f>
        <v xml:space="preserve">4. Insert the source for the unique identifier number or code ("DUNS", "VAT", "Customer", etc).  </v>
      </c>
      <c r="B11" s="111"/>
    </row>
    <row r="12" spans="1:2" ht="32.4">
      <c r="A12" s="115" t="str">
        <f ca="1">OFFSET(L!$C$1,MATCH("Instructions"&amp;ADDRESS(ROW(),COLUMN(),4),L!$A:$A,0)-1,SL,,)</f>
        <v>5. Insert your full company address (street, city, state, country, postal code).  This field is optional.</v>
      </c>
      <c r="B12" s="111" t="s">
        <v>1304</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32.4">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 customHeight="1">
      <c r="A15" s="115" t="str">
        <f ca="1">OFFSET(L!$C$1,MATCH("Instructions"&amp;ADDRESS(ROW(),COLUMN(),4),L!$A:$A,0)-1,SL,,)</f>
        <v>8. Insert the telephone number for the contact. This field is mandatory.</v>
      </c>
      <c r="B15" s="111"/>
    </row>
    <row r="16" spans="1:2" ht="48.6">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6.2">
      <c r="A17" s="115" t="str">
        <f ca="1">OFFSET(L!$C$1,MATCH("Instructions"&amp;ADDRESS(ROW(),COLUMN(),4),L!$A:$A,0)-1,SL,,)</f>
        <v>10. Insert the title for the Authorizing person. This field is optional.</v>
      </c>
      <c r="B17" s="111"/>
    </row>
    <row r="18" spans="1:2" ht="32.4">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6.2">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32.4">
      <c r="A21" s="115" t="str">
        <f ca="1">OFFSET(L!$C$1,MATCH("Instructions"&amp;ADDRESS(ROW(),COLUMN(),4),L!$A:$A,0)-1,SL,,)</f>
        <v xml:space="preserve">14. As an example, the user may save the file name as:  companyname-date.xls (date as YYYY-MM-DD).  </v>
      </c>
      <c r="B21" s="111" t="s">
        <v>1304</v>
      </c>
    </row>
    <row r="22" spans="1:2" ht="16.2">
      <c r="A22" s="119"/>
      <c r="B22" s="111"/>
    </row>
    <row r="23" spans="1:2" ht="32.4">
      <c r="A23" s="118" t="str">
        <f ca="1">OFFSET(L!$C$1,MATCH("Instructions"&amp;ADDRESS(ROW(),COLUMN(),4),L!$A:$A,0)-1,SL,,)</f>
        <v>Instructions for completing the eight Due Diligence Questions (rows 24 - 71).
Provide answers in ENGLISH only</v>
      </c>
      <c r="B23" s="111" t="s">
        <v>1304</v>
      </c>
    </row>
    <row r="24" spans="1:2" ht="80.7"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1307</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1304</v>
      </c>
    </row>
    <row r="26" spans="1:2" ht="280.95"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1304</v>
      </c>
    </row>
    <row r="27" spans="1:2" ht="32.4">
      <c r="A27" s="115" t="str">
        <f ca="1">OFFSET(L!$C$1,MATCH("Instructions"&amp;ADDRESS(ROW(),COLUMN(),4),L!$A:$A,0)-1,SL,,)</f>
        <v>Some companies may require substantiation for a "No" answer that should be entered into the Comment Field.</v>
      </c>
      <c r="B27" s="111" t="s">
        <v>1304</v>
      </c>
    </row>
    <row r="28" spans="1:2" ht="247.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19999999999999"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1304</v>
      </c>
    </row>
    <row r="30" spans="1:2" ht="181.95"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145.80000000000001">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1304</v>
      </c>
    </row>
    <row r="32" spans="1:2" ht="234.6"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1307</v>
      </c>
    </row>
    <row r="33" spans="1:2" ht="81">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64.8">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1304</v>
      </c>
    </row>
    <row r="35" spans="1:2" ht="21" customHeight="1">
      <c r="A35" s="115" t="str">
        <f ca="1">OFFSET(L!$C$1,MATCH("Instructions"&amp;ADDRESS(ROW(),COLUMN(),4),L!$A:$A,0)-1,SL,,)</f>
        <v>Provide comments in the Comment sections as required to clarify your responses.</v>
      </c>
      <c r="B35" s="111"/>
    </row>
    <row r="36" spans="1:2" ht="16.2">
      <c r="A36" s="119"/>
      <c r="B36" s="111"/>
    </row>
    <row r="37" spans="1:2" ht="48.6">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1304</v>
      </c>
    </row>
    <row r="38" spans="1:2" ht="145.80000000000001">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1306</v>
      </c>
    </row>
    <row r="39" spans="1:2" ht="64.8">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7"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81">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1309</v>
      </c>
    </row>
    <row r="42" spans="1:2" ht="162">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1307</v>
      </c>
    </row>
    <row r="43" spans="1:2" ht="162">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1308</v>
      </c>
    </row>
    <row r="44" spans="1:2" ht="145.80000000000001">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1304</v>
      </c>
    </row>
    <row r="45" spans="1:2" ht="129.6">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1305</v>
      </c>
    </row>
    <row r="46" spans="1:2" ht="85.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1304</v>
      </c>
    </row>
    <row r="47" spans="1:2" ht="16.2">
      <c r="A47" s="119"/>
      <c r="B47" s="111"/>
    </row>
    <row r="48" spans="1:2" ht="32.4">
      <c r="A48" s="118" t="str">
        <f ca="1">OFFSET(L!$C$1,MATCH("Instructions"&amp;ADDRESS(ROW(),COLUMN(),4),L!$A:$A,0)-1,SL,,)</f>
        <v>Instructions for completing the Smelter List Tab.
Provide answers in ENGLISH only</v>
      </c>
      <c r="B48" s="111" t="s">
        <v>1304</v>
      </c>
    </row>
    <row r="49" spans="1:2" ht="22.5" customHeight="1">
      <c r="A49" s="281" t="str">
        <f ca="1">OFFSET(L!$C$1,MATCH("Instructions"&amp;ADDRESS(ROW(),COLUMN(),4),L!$A:$A,0)-1,SL,,)</f>
        <v>Note:  Columns with (*) are mandatory fields</v>
      </c>
      <c r="B49" s="111"/>
    </row>
    <row r="50" spans="1:2" ht="64.8">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1303</v>
      </c>
    </row>
    <row r="51" spans="1:2" ht="51"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1304</v>
      </c>
    </row>
    <row r="52" spans="1:2" ht="44.7" customHeight="1">
      <c r="A52" s="115" t="str">
        <f ca="1">OFFSET(L!$C$1,MATCH("Instructions"&amp;ADDRESS(ROW(),COLUMN(),4),L!$A:$A,0)-1,SL,,)</f>
        <v>2. Metal (*)   -   Use the pull down menu to select the metal for which you are entering smelter information.  This field is mandatory.</v>
      </c>
      <c r="B52" s="111"/>
    </row>
    <row r="53" spans="1:2" ht="79.2"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1304</v>
      </c>
    </row>
    <row r="54" spans="1:2" ht="64.8">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1303</v>
      </c>
    </row>
    <row r="55" spans="1:2" ht="81">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1309</v>
      </c>
    </row>
    <row r="56" spans="1:2" ht="64.8">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1303</v>
      </c>
    </row>
    <row r="57" spans="1:2" ht="64.8">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1303</v>
      </c>
    </row>
    <row r="58" spans="1:2" ht="64.8">
      <c r="A58" s="115" t="str">
        <f ca="1">OFFSET(L!$C$1,MATCH("Instructions"&amp;ADDRESS(ROW(),COLUMN(),4),L!$A:$A,0)-1,SL,,)</f>
        <v>8. Smelter Street -  Provide the street name on which the smelter is located. This field is optional.</v>
      </c>
      <c r="B58" s="111" t="s">
        <v>1303</v>
      </c>
    </row>
    <row r="59" spans="1:2" ht="32.4">
      <c r="A59" s="115" t="str">
        <f ca="1">OFFSET(L!$C$1,MATCH("Instructions"&amp;ADDRESS(ROW(),COLUMN(),4),L!$A:$A,0)-1,SL,,)</f>
        <v>9. Smelter City – Provide the city name of where the smelter is located. This field is optional.</v>
      </c>
      <c r="B59" s="111" t="s">
        <v>1304</v>
      </c>
    </row>
    <row r="60" spans="1:2" ht="45" customHeight="1">
      <c r="A60" s="115" t="str">
        <f ca="1">OFFSET(L!$C$1,MATCH("Instructions"&amp;ADDRESS(ROW(),COLUMN(),4),L!$A:$A,0)-1,SL,,)</f>
        <v>10. Smelter Location: State/Province, if applicable – Provide the state or province where the smelter is located. This field is optional.</v>
      </c>
      <c r="B60" s="111" t="s">
        <v>1307</v>
      </c>
    </row>
    <row r="61" spans="1:2" ht="162">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1307</v>
      </c>
    </row>
    <row r="62" spans="1:2" ht="64.8">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1303</v>
      </c>
    </row>
    <row r="63" spans="1:2" ht="125.4"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1303</v>
      </c>
    </row>
    <row r="64" spans="1:2" ht="136.19999999999999"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97.2">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25" customHeight="1">
      <c r="A66" s="115" t="str">
        <f ca="1">OFFSET(L!$C$1,MATCH("Instructions"&amp;ADDRESS(ROW(),COLUMN(),4),L!$A:$A,0)-1,SL,,)</f>
        <v>16. Comments – free form text field to enter any comments concerning the smelter.  Example: smelter is being acquired by Company YYY</v>
      </c>
      <c r="B66" s="111"/>
    </row>
    <row r="67" spans="1:2" s="28" customFormat="1" ht="16.2">
      <c r="A67" s="120"/>
      <c r="B67" s="111"/>
    </row>
    <row r="68" spans="1:2" s="28" customFormat="1" ht="34.5" customHeight="1">
      <c r="A68" s="118" t="str">
        <f ca="1">OFFSET(L!$C$1,MATCH("Instructions"&amp;ADDRESS(ROW(),COLUMN(),4),L!$A:$A,0)-1,SL,,)</f>
        <v>TERMS AND CONDITIONS</v>
      </c>
      <c r="B68" s="111"/>
    </row>
    <row r="69" spans="1:2" s="28" customFormat="1" ht="16.2">
      <c r="A69" s="120"/>
      <c r="B69" s="111"/>
    </row>
    <row r="70" spans="1:2" ht="80.7"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1304</v>
      </c>
    </row>
    <row r="71" spans="1:2" ht="93.6" customHeight="1">
      <c r="A71" s="28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1310</v>
      </c>
    </row>
    <row r="72" spans="1:2" ht="155.4" customHeight="1">
      <c r="A72" s="28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1308</v>
      </c>
    </row>
    <row r="73" spans="1:2" ht="81">
      <c r="A73" s="28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1309</v>
      </c>
    </row>
    <row r="74" spans="1:2" ht="32.4">
      <c r="A74" s="115"/>
      <c r="B74" s="111" t="s">
        <v>441</v>
      </c>
    </row>
    <row r="75" spans="1:2" ht="16.2">
      <c r="A75" s="115" t="str">
        <f ca="1">OFFSET(L!$C$1,MATCH("General"&amp;"Cpy",L!$A:$A,0)-1,SL,,)</f>
        <v>© 2022 Responsible Minerals Initiative. All rights reserved.</v>
      </c>
      <c r="B75" s="112"/>
    </row>
    <row r="76" spans="1:2" ht="16.2">
      <c r="A76" s="116" t="s">
        <v>1035</v>
      </c>
      <c r="B76" s="112"/>
    </row>
    <row r="77" spans="1:2" ht="16.8" thickBot="1">
      <c r="A77" s="161" t="s">
        <v>15653</v>
      </c>
    </row>
  </sheetData>
  <sheetProtection algorithmName="SHA-512" hashValue="+/jt+tHuMkeuKgWO/mGRenPzgocsZXdKWAyAB5vExpADdjKFDFigL/Y9yMypvqpfstAXgiRLsvcM1EAfqlvvOg==" saltValue="VkgFuz3gdzxJ87iCLyGym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phoneticPr fontId="99"/>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90625" defaultRowHeight="12.6"/>
  <cols>
    <col min="1" max="1" width="1.6328125" style="110" customWidth="1"/>
    <col min="2" max="2" width="35.6328125" style="110" customWidth="1"/>
    <col min="3" max="3" width="105.6328125" style="110" customWidth="1"/>
    <col min="4" max="5" width="1.6328125" style="110" customWidth="1"/>
    <col min="6" max="6" width="4.6328125" style="110" customWidth="1"/>
    <col min="7" max="7" width="4.90625" style="110" customWidth="1"/>
    <col min="8" max="16384" width="8.90625" style="110"/>
  </cols>
  <sheetData>
    <row r="1" spans="1:5" ht="13.2" thickTop="1">
      <c r="A1" s="380"/>
      <c r="B1" s="381"/>
      <c r="C1" s="381"/>
      <c r="D1" s="382"/>
    </row>
    <row r="2" spans="1:5" ht="71.25" customHeight="1">
      <c r="A2" s="84"/>
      <c r="B2" s="159" t="str">
        <f ca="1">OFFSET(L!$C$1,MATCH("Definitions"&amp;ADDRESS(ROW(),COLUMN(),4),L!$A:$A,0)-1,SL,,)</f>
        <v>ITEM</v>
      </c>
      <c r="C2" s="159" t="str">
        <f ca="1">OFFSET(L!$C$1,MATCH("Definitions"&amp;ADDRESS(ROW(),COLUMN(),4),L!$A:$A,0)-1,SL,,)</f>
        <v>DEFINITION</v>
      </c>
      <c r="D2" s="384"/>
      <c r="E2" s="121"/>
    </row>
    <row r="3" spans="1:5" ht="64.2" customHeight="1">
      <c r="A3" s="84"/>
      <c r="B3" s="71" t="str">
        <f ca="1">OFFSET(L!$C$1,MATCH("Definitions"&amp;ADDRESS(ROW(),COLUMN(),4),L!$A:$A,0)-1,SL,,)</f>
        <v>3TG</v>
      </c>
      <c r="C3" s="71" t="str">
        <f ca="1">OFFSET(L!$C$1,MATCH("Definitions"&amp;ADDRESS(ROW(),COLUMN(),4),L!$A:$A,0)-1,SL,,)</f>
        <v>Tantalum, tin, tungsten, gold</v>
      </c>
      <c r="D3" s="384"/>
      <c r="E3" s="122" t="s">
        <v>1312</v>
      </c>
    </row>
    <row r="4" spans="1:5" ht="63.75" customHeight="1">
      <c r="A4" s="84"/>
      <c r="B4" s="71" t="str">
        <f ca="1">OFFSET(L!$C$1,MATCH("Definitions"&amp;ADDRESS(ROW(),COLUMN(),4),L!$A:$A,0)-1,SL,,)</f>
        <v>Authorizer</v>
      </c>
      <c r="C4" s="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4"/>
      <c r="E4" s="122"/>
    </row>
    <row r="5" spans="1:5" ht="64.8">
      <c r="A5" s="84"/>
      <c r="B5" s="71" t="str">
        <f ca="1">OFFSET(L!$C$1,MATCH("Definitions"&amp;ADDRESS(ROW(),COLUMN(),4),L!$A:$A,0)-1,SL,,)</f>
        <v>Conflict-Affected and High-Risk Area (CAHRA)</v>
      </c>
      <c r="C5" s="7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4"/>
      <c r="E5" s="122"/>
    </row>
    <row r="6" spans="1:5" ht="151.19999999999999" customHeight="1">
      <c r="A6" s="84"/>
      <c r="B6" s="71" t="str">
        <f ca="1">OFFSET(L!$C$1,MATCH("Definitions"&amp;ADDRESS(ROW(),COLUMN(),4),L!$A:$A,0)-1,SL,,)</f>
        <v>Conflict Mineral</v>
      </c>
      <c r="C6" s="7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4"/>
      <c r="E6" s="122" t="s">
        <v>1313</v>
      </c>
    </row>
    <row r="7" spans="1:5" ht="105.6" customHeight="1">
      <c r="A7" s="84"/>
      <c r="B7" s="71" t="str">
        <f ca="1">OFFSET(L!$C$1,MATCH("Definitions"&amp;ADDRESS(ROW(),COLUMN(),4),L!$A:$A,0)-1,SL,,)</f>
        <v>Covered Country(ies)</v>
      </c>
      <c r="C7" s="7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4"/>
      <c r="E7" s="122" t="s">
        <v>1313</v>
      </c>
    </row>
    <row r="8" spans="1:5" ht="145.80000000000001">
      <c r="A8" s="84"/>
      <c r="B8" s="71" t="str">
        <f ca="1">OFFSET(L!$C$1,MATCH("Definitions"&amp;ADDRESS(ROW(),COLUMN(),4),L!$A:$A,0)-1,SL,,)</f>
        <v>Declaration Scope or Class</v>
      </c>
      <c r="C8" s="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4"/>
      <c r="E8" s="122" t="s">
        <v>1316</v>
      </c>
    </row>
    <row r="9" spans="1:5" ht="64.8">
      <c r="A9" s="84"/>
      <c r="B9" s="71" t="str">
        <f ca="1">OFFSET(L!$C$1,MATCH("Definitions"&amp;ADDRESS(ROW(),COLUMN(),4),L!$A:$A,0)-1,SL,,)</f>
        <v>Dodd-Frank</v>
      </c>
      <c r="C9" s="71" t="str">
        <f ca="1">OFFSET(L!$C$1,MATCH("Definitions"&amp;ADDRESS(ROW(),COLUMN(),4),L!$A:$A,0)-1,SL,,)</f>
        <v>2010 United States legislation, Dodd-Frank Wall Street Reform and Consumer Protection Act, Section 1502 (“Dodd-Frank”) (http://www.sec.gov/about/laws/wallstreetreform-cpa.pdf)</v>
      </c>
      <c r="D9" s="384"/>
      <c r="E9" s="122" t="s">
        <v>1313</v>
      </c>
    </row>
    <row r="10" spans="1:5" ht="48.6">
      <c r="A10" s="84"/>
      <c r="B10" s="71" t="str">
        <f ca="1">OFFSET(L!$C$1,MATCH("Definitions"&amp;ADDRESS(ROW(),COLUMN(),4),L!$A:$A,0)-1,SL,,)</f>
        <v>DRC</v>
      </c>
      <c r="C10" s="71" t="str">
        <f ca="1">OFFSET(L!$C$1,MATCH("Definitions"&amp;ADDRESS(ROW(),COLUMN(),4),L!$A:$A,0)-1,SL,,)</f>
        <v>Democratic Republic of Congo</v>
      </c>
      <c r="D10" s="384"/>
      <c r="E10" s="122" t="s">
        <v>1312</v>
      </c>
    </row>
    <row r="11" spans="1:5" ht="64.8" hidden="1">
      <c r="A11" s="84"/>
      <c r="B11" s="71" t="str">
        <f ca="1">OFFSET(L!$C$1,MATCH("Definitions"&amp;ADDRESS(ROW(),COLUMN(),4),L!$A:$A,0)-1,SL,,)</f>
        <v>DRC conflict-free</v>
      </c>
      <c r="C11" s="7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4"/>
      <c r="E11" s="122" t="s">
        <v>1312</v>
      </c>
    </row>
    <row r="12" spans="1:5" ht="64.8">
      <c r="A12" s="84"/>
      <c r="B12" s="71" t="str">
        <f ca="1">OFFSET(L!$C$1,MATCH("Definitions"&amp;ADDRESS(ROW(),COLUMN(),4),L!$A:$A,0)-1,SL,,)</f>
        <v>Gold (Au) refiner (smelter)</v>
      </c>
      <c r="C12" s="7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4"/>
      <c r="E12" s="122" t="s">
        <v>1312</v>
      </c>
    </row>
    <row r="13" spans="1:5" ht="107.25" customHeight="1">
      <c r="A13" s="84"/>
      <c r="B13" s="71" t="str">
        <f ca="1">OFFSET(L!$C$1,MATCH("Definitions"&amp;ADDRESS(ROW(),COLUMN(),4),L!$A:$A,0)-1,SL,,)</f>
        <v>Independent Third-Party Audit Firm</v>
      </c>
      <c r="C13" s="7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4"/>
      <c r="E13" s="122" t="s">
        <v>1314</v>
      </c>
    </row>
    <row r="14" spans="1:5" ht="307.8">
      <c r="A14" s="84"/>
      <c r="B14" s="71" t="str">
        <f ca="1">OFFSET(L!$C$1,MATCH("Definitions"&amp;ADDRESS(ROW(),COLUMN(),4),L!$A:$A,0)-1,SL,,)</f>
        <v>Intentionally added</v>
      </c>
      <c r="C14" s="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4"/>
      <c r="E14" s="122" t="s">
        <v>1312</v>
      </c>
    </row>
    <row r="15" spans="1:5" ht="129.6">
      <c r="A15" s="84"/>
      <c r="B15" s="71" t="str">
        <f ca="1">OFFSET(L!$C$1,MATCH("Definitions"&amp;ADDRESS(ROW(),COLUMN(),4),L!$A:$A,0)-1,SL,,)</f>
        <v>IPC</v>
      </c>
      <c r="C15" s="7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4"/>
      <c r="E15" s="122" t="s">
        <v>1312</v>
      </c>
    </row>
    <row r="16" spans="1:5" ht="64.8">
      <c r="A16" s="84"/>
      <c r="B16" s="71" t="str">
        <f ca="1">OFFSET(L!$C$1,MATCH("Definitions"&amp;ADDRESS(ROW(),COLUMN(),4),L!$A:$A,0)-1,SL,,)</f>
        <v>IPC-1755 Responsible Sourcing of Minerals Data Exchange Standard</v>
      </c>
      <c r="C16" s="7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4"/>
      <c r="E16" s="122" t="s">
        <v>1312</v>
      </c>
    </row>
    <row r="17" spans="1:5" ht="194.4">
      <c r="A17" s="84"/>
      <c r="B17" s="71" t="str">
        <f ca="1">OFFSET(L!$C$1,MATCH("Definitions"&amp;ADDRESS(ROW(),COLUMN(),4),L!$A:$A,0)-1,SL,,)</f>
        <v>Necessary for the Functionality of a Product</v>
      </c>
      <c r="C17" s="7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4"/>
      <c r="E17" s="122" t="s">
        <v>1312</v>
      </c>
    </row>
    <row r="18" spans="1:5" ht="162">
      <c r="A18" s="84"/>
      <c r="B18" s="71" t="str">
        <f ca="1">OFFSET(L!$C$1,MATCH("Definitions"&amp;ADDRESS(ROW(),COLUMN(),4),L!$A:$A,0)-1,SL,,)</f>
        <v>Necessary for the Production of a Product</v>
      </c>
      <c r="C18" s="7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4"/>
      <c r="E18" s="122" t="s">
        <v>1312</v>
      </c>
    </row>
    <row r="19" spans="1:5" ht="16.2">
      <c r="A19" s="84"/>
      <c r="B19" s="71" t="str">
        <f ca="1">OFFSET(L!$C$1,MATCH("Definitions"&amp;ADDRESS(ROW(),COLUMN(),4),L!$A:$A,0)-1,SL,,)</f>
        <v>OECD</v>
      </c>
      <c r="C19" s="71" t="str">
        <f ca="1">OFFSET(L!$C$1,MATCH("Definitions"&amp;ADDRESS(ROW(),COLUMN(),4),L!$A:$A,0)-1,SL,,)</f>
        <v>Organisation for Economic Co-operation and Development</v>
      </c>
      <c r="D19" s="384"/>
      <c r="E19" s="122"/>
    </row>
    <row r="20" spans="1:5" ht="32.4">
      <c r="A20" s="84"/>
      <c r="B20" s="71" t="str">
        <f ca="1">OFFSET(L!$C$1,MATCH("Definitions"&amp;ADDRESS(ROW(),COLUMN(),4),L!$A:$A,0)-1,SL,,)</f>
        <v>Product</v>
      </c>
      <c r="C20" s="71" t="str">
        <f ca="1">OFFSET(L!$C$1,MATCH("Definitions"&amp;ADDRESS(ROW(),COLUMN(),4),L!$A:$A,0)-1,SL,,)</f>
        <v>A company’s Product or Finished good is a material or item which has completed the final stage of manufacturing and/or processing and is available for distribution or sale to customers.</v>
      </c>
      <c r="D20" s="384"/>
      <c r="E20" s="122"/>
    </row>
    <row r="21" spans="1:5" ht="16.2">
      <c r="A21" s="84"/>
      <c r="B21" s="71" t="str">
        <f ca="1">OFFSET(L!$C$1,MATCH("Definitions"&amp;ADDRESS(ROW(),COLUMN(),4),L!$A:$A,0)-1,SL,,)</f>
        <v>RBA</v>
      </c>
      <c r="C21" s="71" t="str">
        <f ca="1">OFFSET(L!$C$1,MATCH("Definitions"&amp;ADDRESS(ROW(),COLUMN(),4),L!$A:$A,0)-1,SL,,)</f>
        <v>Responsible Business Alliance (www.responsiblebusiness.org)</v>
      </c>
      <c r="D21" s="384"/>
      <c r="E21" s="122"/>
    </row>
    <row r="22" spans="1:5" ht="106.5" customHeight="1">
      <c r="A22" s="84"/>
      <c r="B22" s="71" t="str">
        <f ca="1">OFFSET(L!$C$1,MATCH("Definitions"&amp;ADDRESS(ROW(),COLUMN(),4),L!$A:$A,0)-1,SL,,)</f>
        <v>Recycled or Scrap Sources</v>
      </c>
      <c r="C22" s="7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4"/>
      <c r="E22" s="122"/>
    </row>
    <row r="23" spans="1:5" ht="64.8">
      <c r="A23" s="84"/>
      <c r="B23" s="71" t="str">
        <f ca="1">OFFSET(L!$C$1,MATCH("Definitions"&amp;ADDRESS(ROW(),COLUMN(),4),L!$A:$A,0)-1,SL,,)</f>
        <v>Responsible Minerals Assurance Process (RMAP)</v>
      </c>
      <c r="C23" s="7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4"/>
      <c r="E23" s="122"/>
    </row>
    <row r="24" spans="1:5" ht="168" customHeight="1">
      <c r="A24" s="84"/>
      <c r="B24" s="71" t="str">
        <f ca="1">OFFSET(L!$C$1,MATCH("Definitions"&amp;ADDRESS(ROW(),COLUMN(),4),L!$A:$A,0)-1,SL,,)</f>
        <v>Responsible Minerals Initiative</v>
      </c>
      <c r="C24" s="7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4"/>
      <c r="E24" s="122"/>
    </row>
    <row r="25" spans="1:5" ht="177.6" customHeight="1">
      <c r="A25" s="84"/>
      <c r="B25" s="71" t="str">
        <f ca="1">OFFSET(L!$C$1,MATCH("Definitions"&amp;ADDRESS(ROW(),COLUMN(),4),L!$A:$A,0)-1,SL,,)</f>
        <v>RMAP Conformant Smelter List</v>
      </c>
      <c r="C25" s="7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4"/>
      <c r="E25" s="122" t="s">
        <v>1312</v>
      </c>
    </row>
    <row r="26" spans="1:5" ht="81">
      <c r="A26" s="84"/>
      <c r="B26" s="71" t="str">
        <f ca="1">OFFSET(L!$C$1,MATCH("Definitions"&amp;ADDRESS(ROW(),COLUMN(),4),L!$A:$A,0)-1,SL,,)</f>
        <v>SEC</v>
      </c>
      <c r="C26" s="71" t="str">
        <f ca="1">OFFSET(L!$C$1,MATCH("Definitions"&amp;ADDRESS(ROW(),COLUMN(),4),L!$A:$A,0)-1,SL,,)</f>
        <v>U.S. Securities and Exchange Commission (www.sec.gov)</v>
      </c>
      <c r="D26" s="384"/>
      <c r="E26" s="122" t="s">
        <v>1314</v>
      </c>
    </row>
    <row r="27" spans="1:5" ht="64.8">
      <c r="A27" s="84"/>
      <c r="B27" s="71" t="str">
        <f ca="1">OFFSET(L!$C$1,MATCH("Definitions"&amp;ADDRESS(ROW(),COLUMN(),4),L!$A:$A,0)-1,SL,,)</f>
        <v>Smelter</v>
      </c>
      <c r="C27" s="7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4"/>
      <c r="E27" s="122" t="s">
        <v>1312</v>
      </c>
    </row>
    <row r="28" spans="1:5" ht="64.8">
      <c r="A28" s="84"/>
      <c r="B28" s="71" t="str">
        <f ca="1">OFFSET(L!$C$1,MATCH("Definitions"&amp;ADDRESS(ROW(),COLUMN(),4),L!$A:$A,0)-1,SL,,)</f>
        <v>Smelter Identification Number</v>
      </c>
      <c r="C28" s="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4"/>
      <c r="E28" s="122" t="s">
        <v>1313</v>
      </c>
    </row>
    <row r="29" spans="1:5" ht="97.2">
      <c r="A29" s="84"/>
      <c r="B29" s="71" t="str">
        <f ca="1">OFFSET(L!$C$1,MATCH("Definitions"&amp;ADDRESS(ROW(),COLUMN(),4),L!$A:$A,0)-1,SL,,)</f>
        <v>Tantalum (Ta) smelter</v>
      </c>
      <c r="C29" s="7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4"/>
      <c r="E29" s="122" t="s">
        <v>1314</v>
      </c>
    </row>
    <row r="30" spans="1:5" ht="151.94999999999999" customHeight="1">
      <c r="A30" s="84"/>
      <c r="B30" s="71" t="str">
        <f ca="1">OFFSET(L!$C$1,MATCH("Definitions"&amp;ADDRESS(ROW(),COLUMN(),4),L!$A:$A,0)-1,SL,,)</f>
        <v>Tin (Sn) smelter</v>
      </c>
      <c r="C30" s="7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4"/>
      <c r="E30" s="122" t="s">
        <v>1315</v>
      </c>
    </row>
    <row r="31" spans="1:5" ht="136.94999999999999" customHeight="1">
      <c r="A31" s="84"/>
      <c r="B31" s="71" t="str">
        <f ca="1">OFFSET(L!$C$1,MATCH("Definitions"&amp;ADDRESS(ROW(),COLUMN(),4),L!$A:$A,0)-1,SL,,)</f>
        <v>Tungsten (W) smelter</v>
      </c>
      <c r="C31" s="7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4"/>
      <c r="E31" s="122"/>
    </row>
    <row r="32" spans="1:5" ht="16.2">
      <c r="A32" s="84"/>
      <c r="B32" s="383" t="str">
        <f ca="1">OFFSET(L!$C$1,MATCH("General"&amp;"Cpy",L!$A:$A,0)-1,SL,,)</f>
        <v>© 2022 Responsible Minerals Initiative. All rights reserved.</v>
      </c>
      <c r="C32" s="383"/>
      <c r="D32" s="384"/>
      <c r="E32" s="122"/>
    </row>
    <row r="33" spans="1:4" ht="13.2" thickBot="1">
      <c r="A33" s="85"/>
      <c r="B33" s="176"/>
      <c r="C33" s="176"/>
      <c r="D33" s="385"/>
    </row>
    <row r="34" spans="1:4" ht="13.2" thickTop="1"/>
  </sheetData>
  <sheetProtection algorithmName="SHA-512" hashValue="R9Kvay7xgmEfezuub6CDcaEDEFg0mHjt2Q/m8VfW93bCrvFWRWBbWJSALXs1se8v5MbESwl+JQDABuU4mikfBw==" saltValue="GjfKh3KrX7CFgmjUPpKa2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honeticPr fontId="99"/>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Normal="100" zoomScalePageLayoutView="70" workbookViewId="0">
      <selection activeCell="D3" sqref="D3"/>
    </sheetView>
  </sheetViews>
  <sheetFormatPr baseColWidth="10" defaultColWidth="8.90625" defaultRowHeight="12.6"/>
  <cols>
    <col min="1" max="1" width="1.90625" customWidth="1"/>
    <col min="2" max="2" width="83.08984375" customWidth="1"/>
    <col min="3" max="3" width="1.6328125" customWidth="1"/>
    <col min="4" max="5" width="16.6328125" customWidth="1"/>
    <col min="6" max="6" width="1.6328125" customWidth="1"/>
    <col min="7" max="9" width="16.6328125" customWidth="1"/>
    <col min="10" max="10" width="17.90625" customWidth="1"/>
    <col min="11" max="11" width="1.6328125" customWidth="1"/>
    <col min="12" max="12" width="3.6328125" style="110" hidden="1" customWidth="1"/>
    <col min="13" max="15" width="4.90625" style="110" hidden="1" customWidth="1"/>
    <col min="16" max="23" width="9.08984375" hidden="1" customWidth="1"/>
    <col min="24" max="24" width="9.08984375" customWidth="1"/>
  </cols>
  <sheetData>
    <row r="1" spans="1:34" ht="16.8" thickTop="1">
      <c r="A1" s="404"/>
      <c r="B1" s="405"/>
      <c r="C1" s="405"/>
      <c r="D1" s="405"/>
      <c r="E1" s="405"/>
      <c r="F1" s="405"/>
      <c r="G1" s="405"/>
      <c r="H1" s="405"/>
      <c r="I1" s="405"/>
      <c r="J1" s="405"/>
      <c r="K1" s="406"/>
      <c r="L1" s="133"/>
      <c r="M1" s="124"/>
      <c r="N1" s="124"/>
      <c r="O1" s="125"/>
      <c r="P1" s="12"/>
      <c r="Q1" s="12"/>
      <c r="R1" s="12"/>
      <c r="S1" s="12"/>
      <c r="T1" s="12"/>
      <c r="U1" s="12"/>
      <c r="V1" s="12"/>
      <c r="W1" s="12"/>
      <c r="X1" s="12"/>
      <c r="Y1" s="12"/>
      <c r="Z1" s="12"/>
      <c r="AA1" s="12"/>
      <c r="AB1" s="12"/>
      <c r="AC1" s="12"/>
      <c r="AD1" s="12"/>
      <c r="AE1" s="12"/>
      <c r="AF1" s="12"/>
      <c r="AG1" s="12"/>
      <c r="AH1" s="12"/>
    </row>
    <row r="2" spans="1:34" ht="82.35" customHeight="1">
      <c r="A2" s="42"/>
      <c r="B2" s="158"/>
      <c r="C2" s="43"/>
      <c r="D2" s="407" t="str">
        <f ca="1">OFFSET(L!$C$1,MATCH("Declaration"&amp;ADDRESS(ROW(),COLUMN(),4),L!$A:$A,0)-1,SL,,)</f>
        <v>Conflict Minerals Reporting Template (CMRT)</v>
      </c>
      <c r="E2" s="408"/>
      <c r="F2" s="408"/>
      <c r="G2" s="408"/>
      <c r="H2" s="408"/>
      <c r="I2" s="408"/>
      <c r="J2" s="409"/>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7" t="s">
        <v>2452</v>
      </c>
      <c r="C3" s="18"/>
      <c r="D3" s="45" t="s">
        <v>861</v>
      </c>
      <c r="E3" s="12"/>
      <c r="F3" s="420"/>
      <c r="G3" s="420"/>
      <c r="H3" s="420"/>
      <c r="I3" s="175"/>
      <c r="J3" s="160" t="s">
        <v>15654</v>
      </c>
      <c r="K3" s="44"/>
      <c r="L3" s="133"/>
      <c r="M3" s="124"/>
      <c r="N3" s="124"/>
      <c r="O3" s="125"/>
      <c r="P3" s="138">
        <f>MATCH($D$3,LN,0)</f>
        <v>1</v>
      </c>
    </row>
    <row r="4" spans="1:34" ht="16.2">
      <c r="A4" s="42"/>
      <c r="B4" s="416" t="str">
        <f ca="1">OFFSET(L!$C$1,MATCH("Declaration"&amp;ADDRESS(ROW(),COLUMN(),4),L!$A:$A,0)-1,SL,,)</f>
        <v>The purpose of this document is to collect sourcing information on tin, tantalum, tungsten and gold used in products</v>
      </c>
      <c r="C4" s="416"/>
      <c r="D4" s="416"/>
      <c r="E4" s="416"/>
      <c r="F4" s="416"/>
      <c r="G4" s="416"/>
      <c r="H4" s="416"/>
      <c r="I4" s="421" t="str">
        <f ca="1">OFFSET(L!$C$1,MATCH("Declaration"&amp;ADDRESS(ROW(),COLUMN(),4),L!$A:$A,0)-1,SL,,)</f>
        <v>Link to Terms &amp; Conditions</v>
      </c>
      <c r="J4" s="421"/>
      <c r="K4" s="44"/>
      <c r="L4" s="135"/>
      <c r="M4" s="124"/>
      <c r="N4" s="124"/>
      <c r="O4" s="125"/>
      <c r="P4" s="12"/>
      <c r="Q4" s="12"/>
      <c r="R4" s="12"/>
      <c r="S4" s="12"/>
      <c r="T4" s="12"/>
      <c r="U4" s="12"/>
      <c r="V4" s="12"/>
      <c r="W4" s="12"/>
      <c r="X4" s="12"/>
      <c r="Y4" s="12"/>
      <c r="Z4" s="12"/>
      <c r="AA4" s="12"/>
      <c r="AB4" s="12"/>
      <c r="AC4" s="12"/>
      <c r="AD4" s="12"/>
      <c r="AE4" s="12"/>
      <c r="AF4" s="12"/>
      <c r="AG4" s="12"/>
      <c r="AH4" s="12"/>
    </row>
    <row r="5" spans="1:34" ht="16.2">
      <c r="A5" s="156" t="str">
        <f>LEFT(D9,1)</f>
        <v>B</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2.4">
      <c r="A6" s="42"/>
      <c r="B6" s="416" t="str">
        <f ca="1">OFFSET(L!$C$1,MATCH("Declaration"&amp;ADDRESS(ROW(),COLUMN(),4),L!$A:$A,0)-1,SL,,)</f>
        <v>Mandatory fields are noted with an asterisk (*).  Consult the instructions tab for guidance on how to answer each question.</v>
      </c>
      <c r="C6" s="416"/>
      <c r="D6" s="416"/>
      <c r="E6" s="416"/>
      <c r="F6" s="416"/>
      <c r="G6" s="416"/>
      <c r="H6" s="416"/>
      <c r="I6" s="416"/>
      <c r="J6" s="416"/>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7.200000000000003" customHeight="1">
      <c r="A7" s="42"/>
      <c r="B7" s="425" t="str">
        <f ca="1">OFFSET(L!$C$1,MATCH("Declaration"&amp;ADDRESS(ROW(),COLUMN(),4),L!$A:$A,0)-1,SL,,)</f>
        <v>Company Information</v>
      </c>
      <c r="C7" s="425"/>
      <c r="D7" s="425"/>
      <c r="E7" s="425"/>
      <c r="F7" s="425"/>
      <c r="G7" s="425"/>
      <c r="H7" s="425"/>
      <c r="I7" s="425"/>
      <c r="J7" s="425"/>
      <c r="K7" s="44"/>
      <c r="L7" s="135"/>
      <c r="M7" s="124"/>
      <c r="N7" s="124"/>
      <c r="O7" s="125"/>
      <c r="P7" s="12"/>
      <c r="Q7" s="12"/>
      <c r="R7" s="12"/>
      <c r="S7" s="12"/>
      <c r="T7" s="12"/>
      <c r="U7" s="12"/>
      <c r="V7" s="12"/>
      <c r="W7" s="12"/>
      <c r="X7" s="12"/>
      <c r="Y7" s="12"/>
      <c r="Z7" s="12"/>
      <c r="AA7" s="12"/>
      <c r="AB7" s="12"/>
      <c r="AC7" s="12"/>
      <c r="AD7" s="12"/>
      <c r="AE7" s="12"/>
      <c r="AF7" s="12"/>
      <c r="AG7" s="12"/>
      <c r="AH7" s="12"/>
    </row>
    <row r="8" spans="1:34" ht="16.2">
      <c r="A8" s="46"/>
      <c r="B8" s="83" t="str">
        <f ca="1">OFFSET(L!$C$1,MATCH("Declaration"&amp;ADDRESS(ROW(),COLUMN(),4),L!$A:$A,0)-1,SL,,)</f>
        <v>Company Name (*):</v>
      </c>
      <c r="C8" s="86"/>
      <c r="D8" s="410" t="s">
        <v>15656</v>
      </c>
      <c r="E8" s="411"/>
      <c r="F8" s="411"/>
      <c r="G8" s="411"/>
      <c r="H8" s="411"/>
      <c r="I8" s="411"/>
      <c r="J8" s="412"/>
      <c r="K8" s="47"/>
      <c r="L8" s="135"/>
      <c r="M8" s="124"/>
      <c r="N8" s="124"/>
      <c r="O8" s="125"/>
      <c r="P8" s="12"/>
      <c r="Q8" s="12"/>
      <c r="R8" s="12"/>
      <c r="S8" s="12"/>
      <c r="T8" s="12"/>
      <c r="U8" s="12"/>
      <c r="V8" s="12"/>
      <c r="W8" s="12"/>
      <c r="X8" s="12"/>
      <c r="Y8" s="12"/>
      <c r="Z8" s="12"/>
      <c r="AA8" s="12"/>
      <c r="AB8" s="12"/>
      <c r="AC8" s="12"/>
      <c r="AD8" s="12"/>
      <c r="AE8" s="12"/>
      <c r="AF8" s="12"/>
      <c r="AG8" s="12"/>
      <c r="AH8" s="12"/>
    </row>
    <row r="9" spans="1:34" ht="16.2">
      <c r="A9" s="46"/>
      <c r="B9" s="83" t="str">
        <f ca="1">OFFSET(L!$C$1,MATCH("Declaration"&amp;ADDRESS(ROW(),COLUMN(),4),L!$A:$A,0)-1,SL,,)</f>
        <v>Declaration Scope or Class (*):</v>
      </c>
      <c r="C9" s="86"/>
      <c r="D9" s="422" t="s">
        <v>15662</v>
      </c>
      <c r="E9" s="423"/>
      <c r="F9" s="423"/>
      <c r="G9" s="424"/>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700000000000003" customHeight="1">
      <c r="A10" s="46"/>
      <c r="B10" s="426" t="str">
        <f ca="1">OFFSET(L!$C$1,MATCH("Declaration"&amp;ADDRESS(ROW(),COLUMN(),4)&amp;LEFT($D$9,1),L!$A:$A,0)-1,SL,,)</f>
        <v>Go to Product List tab to enter products this declaration applies to</v>
      </c>
      <c r="C10" s="144"/>
      <c r="D10" s="417"/>
      <c r="E10" s="418"/>
      <c r="F10" s="418"/>
      <c r="G10" s="418"/>
      <c r="H10" s="418"/>
      <c r="I10" s="418"/>
      <c r="J10" s="419"/>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6.2">
      <c r="A11" s="46"/>
      <c r="B11" s="427"/>
      <c r="C11" s="144"/>
      <c r="D11" s="434" t="str">
        <f ca="1">IF(D9=Q9,OFFSET(L!$C$1,MATCH("Declaration"&amp;ADDRESS(ROW(),COLUMN(),4),L!$A:$A,0)-1,SL,,),"")</f>
        <v>Click here to enter the products this declaration applies to</v>
      </c>
      <c r="E11" s="435"/>
      <c r="F11" s="435"/>
      <c r="G11" s="435"/>
      <c r="H11" s="435"/>
      <c r="I11" s="435"/>
      <c r="J11" s="436"/>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6.2">
      <c r="A12" s="46"/>
      <c r="B12" s="48" t="str">
        <f ca="1">OFFSET(L!$C$1,MATCH("Declaration"&amp;ADDRESS(ROW(),COLUMN(),4),L!$A:$A,0)-1,SL,,)</f>
        <v>Company Unique ID:</v>
      </c>
      <c r="C12" s="87"/>
      <c r="D12" s="413"/>
      <c r="E12" s="414"/>
      <c r="F12" s="414"/>
      <c r="G12" s="414"/>
      <c r="H12" s="414"/>
      <c r="I12" s="414"/>
      <c r="J12" s="415"/>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6.2">
      <c r="A13" s="46"/>
      <c r="B13" s="48" t="str">
        <f ca="1">OFFSET(L!$C$1,MATCH("Declaration"&amp;ADDRESS(ROW(),COLUMN(),4),L!$A:$A,0)-1,SL,,)</f>
        <v>Company Unique ID Authority:</v>
      </c>
      <c r="C13" s="87"/>
      <c r="D13" s="413"/>
      <c r="E13" s="414"/>
      <c r="F13" s="414"/>
      <c r="G13" s="414"/>
      <c r="H13" s="414"/>
      <c r="I13" s="414"/>
      <c r="J13" s="415"/>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6.2">
      <c r="A14" s="46"/>
      <c r="B14" s="48" t="str">
        <f ca="1">OFFSET(L!$C$1,MATCH("Declaration"&amp;ADDRESS(ROW(),COLUMN(),4),L!$A:$A,0)-1,SL,,)</f>
        <v>Address:</v>
      </c>
      <c r="C14" s="87"/>
      <c r="D14" s="413" t="s">
        <v>15660</v>
      </c>
      <c r="E14" s="414"/>
      <c r="F14" s="414"/>
      <c r="G14" s="414"/>
      <c r="H14" s="414"/>
      <c r="I14" s="414"/>
      <c r="J14" s="415"/>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6.2">
      <c r="A15" s="46"/>
      <c r="B15" s="48" t="str">
        <f ca="1">OFFSET(L!$C$1,MATCH("Declaration"&amp;ADDRESS(ROW(),COLUMN(),4),L!$A:$A,0)-1,SL,,)</f>
        <v>Contact Name (*):</v>
      </c>
      <c r="C15" s="87"/>
      <c r="D15" s="428" t="s">
        <v>15657</v>
      </c>
      <c r="E15" s="414"/>
      <c r="F15" s="414"/>
      <c r="G15" s="414"/>
      <c r="H15" s="414"/>
      <c r="I15" s="414"/>
      <c r="J15" s="415"/>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6.2">
      <c r="A16" s="46"/>
      <c r="B16" s="48" t="str">
        <f ca="1">OFFSET(L!$C$1,MATCH("Declaration"&amp;ADDRESS(ROW(),COLUMN(),4),L!$A:$A,0)-1,SL,,)</f>
        <v>Email – Contact (*):</v>
      </c>
      <c r="C16" s="87"/>
      <c r="D16" s="429" t="s">
        <v>15655</v>
      </c>
      <c r="E16" s="430"/>
      <c r="F16" s="430"/>
      <c r="G16" s="430"/>
      <c r="H16" s="430"/>
      <c r="I16" s="430"/>
      <c r="J16" s="431"/>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6.2">
      <c r="A17" s="46"/>
      <c r="B17" s="48" t="str">
        <f ca="1">OFFSET(L!$C$1,MATCH("Declaration"&amp;ADDRESS(ROW(),COLUMN(),4),L!$A:$A,0)-1,SL,,)</f>
        <v>Phone – Contact (*):</v>
      </c>
      <c r="C17" s="87"/>
      <c r="D17" s="413" t="s">
        <v>15658</v>
      </c>
      <c r="E17" s="414"/>
      <c r="F17" s="414"/>
      <c r="G17" s="414"/>
      <c r="H17" s="414"/>
      <c r="I17" s="414"/>
      <c r="J17" s="415"/>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2.2">
      <c r="A18" s="46"/>
      <c r="B18" s="48" t="str">
        <f ca="1">OFFSET(L!$C$1,MATCH("Declaration"&amp;ADDRESS(ROW(),COLUMN(),4),L!$A:$A,0)-1,SL,,)</f>
        <v>Authorizer (*):</v>
      </c>
      <c r="C18" s="87"/>
      <c r="D18" s="447" t="s">
        <v>15659</v>
      </c>
      <c r="E18" s="448"/>
      <c r="F18" s="448"/>
      <c r="G18" s="448"/>
      <c r="H18" s="448"/>
      <c r="I18" s="448"/>
      <c r="J18" s="449"/>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2.2">
      <c r="A19" s="46"/>
      <c r="B19" s="48" t="str">
        <f ca="1">OFFSET(L!$C$1,MATCH("Declaration"&amp;ADDRESS(ROW(),COLUMN(),4),L!$A:$A,0)-1,SL,,)</f>
        <v>Title - Authorizer:</v>
      </c>
      <c r="C19" s="87"/>
      <c r="D19" s="413" t="s">
        <v>15661</v>
      </c>
      <c r="E19" s="414"/>
      <c r="F19" s="414"/>
      <c r="G19" s="414"/>
      <c r="H19" s="414"/>
      <c r="I19" s="414"/>
      <c r="J19" s="415"/>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2.2">
      <c r="A20" s="46"/>
      <c r="B20" s="48" t="str">
        <f ca="1">OFFSET(L!$C$1,MATCH("Declaration"&amp;ADDRESS(ROW(),COLUMN(),4),L!$A:$A,0)-1,SL,,)</f>
        <v>Email - Authorizer (*):</v>
      </c>
      <c r="C20" s="87"/>
      <c r="D20" s="429" t="s">
        <v>15655</v>
      </c>
      <c r="E20" s="430"/>
      <c r="F20" s="430"/>
      <c r="G20" s="430"/>
      <c r="H20" s="430"/>
      <c r="I20" s="430"/>
      <c r="J20" s="431"/>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6.2">
      <c r="A21" s="46"/>
      <c r="B21" s="48" t="str">
        <f ca="1">OFFSET(L!$C$1,MATCH("Declaration"&amp;ADDRESS(ROW(),COLUMN(),4),L!$A:$A,0)-1,SL,,)</f>
        <v>Phone - Authorizer:</v>
      </c>
      <c r="C21" s="155"/>
      <c r="D21" s="386" t="s">
        <v>15658</v>
      </c>
      <c r="E21" s="387"/>
      <c r="F21" s="387"/>
      <c r="G21" s="387"/>
      <c r="H21" s="387"/>
      <c r="I21" s="387"/>
      <c r="J21" s="388"/>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7.399999999999999">
      <c r="A22" s="46"/>
      <c r="B22" s="48" t="str">
        <f ca="1">OFFSET(L!$C$1,MATCH("Declaration"&amp;ADDRESS(ROW(),COLUMN(),4),L!$A:$A,0)-1,SL,,)</f>
        <v>Effective Date (*):</v>
      </c>
      <c r="C22" s="88"/>
      <c r="D22" s="391">
        <v>44768</v>
      </c>
      <c r="E22" s="392"/>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7.399999999999999">
      <c r="A23" s="49"/>
      <c r="B23" s="89"/>
      <c r="C23" s="20"/>
      <c r="D23" s="439"/>
      <c r="E23" s="439"/>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6.2">
      <c r="A24" s="50"/>
      <c r="B24" s="393" t="str">
        <f ca="1">OFFSET(L!$C$1,MATCH("Declaration"&amp;ADDRESS(ROW(),COLUMN(),4),L!$A:$A,0)-1,SL,,)</f>
        <v>Answer the following questions 1 - 8 based on the declaration scope indicated above</v>
      </c>
      <c r="C24" s="393"/>
      <c r="D24" s="393"/>
      <c r="E24" s="393"/>
      <c r="F24" s="393"/>
      <c r="G24" s="393"/>
      <c r="H24" s="393"/>
      <c r="I24" s="393"/>
      <c r="J24" s="393"/>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 customHeight="1">
      <c r="A25" s="49"/>
      <c r="B25" s="52" t="str">
        <f ca="1">OFFSET(L!$C$1,MATCH("Declaration"&amp;ADDRESS(ROW(),COLUMN(),4),L!$A:$A,0)-1,SL,,)</f>
        <v>1) Is any 3TG intentionally added or used in the product(s) or in the production process? (*)</v>
      </c>
      <c r="C25" s="20"/>
      <c r="D25" s="400" t="str">
        <f ca="1">OFFSET(L!$C$1,MATCH("Declaration"&amp;ADDRESS(ROW(),COLUMN(),4),L!$A:$A,0)-1,SL,,)</f>
        <v>Answer</v>
      </c>
      <c r="E25" s="400"/>
      <c r="F25" s="21"/>
      <c r="G25" s="52" t="str">
        <f ca="1">OFFSET(L!$C$1,MATCH("Declaration"&amp;ADDRESS(ROW(),COLUMN(),4),L!$A:$A,0)-1,SL,,)</f>
        <v>Comments</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2.2">
      <c r="A26" s="49"/>
      <c r="B26" s="48" t="str">
        <f ca="1">OFFSET(L!$C$1,MATCH("Declaration"&amp;ADDRESS(ROW(),COLUMN(),4),L!$A:$A,0)-1,SL,,)&amp;P26</f>
        <v xml:space="preserve">Tantalum  </v>
      </c>
      <c r="C26" s="43"/>
      <c r="D26" s="389" t="s">
        <v>15663</v>
      </c>
      <c r="E26" s="390"/>
      <c r="F26" s="15"/>
      <c r="G26" s="397"/>
      <c r="H26" s="398"/>
      <c r="I26" s="398"/>
      <c r="J26" s="399"/>
      <c r="K26" s="44"/>
      <c r="L26" s="136"/>
      <c r="M26" s="126"/>
      <c r="N26" s="124"/>
      <c r="O26" s="125"/>
      <c r="P26" s="138" t="str">
        <f>IF(D$26="No","","(*)")</f>
        <v/>
      </c>
      <c r="R26" s="12"/>
      <c r="S26" s="12"/>
      <c r="T26" s="12"/>
      <c r="U26" s="12"/>
      <c r="V26" s="12"/>
      <c r="W26" s="12"/>
      <c r="X26" s="12"/>
      <c r="Y26" s="12"/>
      <c r="Z26" s="12"/>
      <c r="AA26" s="12"/>
      <c r="AB26" s="12"/>
      <c r="AC26" s="12"/>
      <c r="AD26" s="12"/>
      <c r="AE26" s="12"/>
      <c r="AF26" s="12"/>
      <c r="AG26" s="12"/>
      <c r="AH26" s="12"/>
    </row>
    <row r="27" spans="1:34" ht="22.2">
      <c r="A27" s="49"/>
      <c r="B27" s="48" t="str">
        <f ca="1">OFFSET(L!$C$1,MATCH("Declaration"&amp;ADDRESS(ROW(),COLUMN(),4),L!$A:$A,0)-1,SL,,)&amp;P27</f>
        <v>Tin  (*)</v>
      </c>
      <c r="C27" s="43"/>
      <c r="D27" s="389" t="s">
        <v>15664</v>
      </c>
      <c r="E27" s="390"/>
      <c r="F27" s="15"/>
      <c r="G27" s="397"/>
      <c r="H27" s="398"/>
      <c r="I27" s="398"/>
      <c r="J27" s="399"/>
      <c r="K27" s="44"/>
      <c r="L27" s="136"/>
      <c r="M27" s="124"/>
      <c r="N27" s="124"/>
      <c r="O27" s="124"/>
      <c r="P27" s="138" t="str">
        <f>IF(D$27="No","","(*)")</f>
        <v>(*)</v>
      </c>
      <c r="R27" s="12"/>
      <c r="S27" s="12"/>
      <c r="T27" s="12"/>
      <c r="U27" s="12"/>
      <c r="V27" s="12"/>
      <c r="W27" s="12"/>
      <c r="X27" s="12"/>
      <c r="Y27" s="12"/>
      <c r="Z27" s="12"/>
      <c r="AA27" s="12"/>
      <c r="AB27" s="12"/>
      <c r="AC27" s="12"/>
      <c r="AD27" s="12"/>
      <c r="AE27" s="12"/>
      <c r="AF27" s="12"/>
      <c r="AG27" s="12"/>
      <c r="AH27" s="12"/>
    </row>
    <row r="28" spans="1:34" ht="22.2">
      <c r="A28" s="49"/>
      <c r="B28" s="48" t="str">
        <f ca="1">OFFSET(L!$C$1,MATCH("Declaration"&amp;ADDRESS(ROW(),COLUMN(),4),L!$A:$A,0)-1,SL,,)&amp;P28</f>
        <v xml:space="preserve">Gold  </v>
      </c>
      <c r="C28" s="43"/>
      <c r="D28" s="389" t="s">
        <v>489</v>
      </c>
      <c r="E28" s="390"/>
      <c r="F28" s="15"/>
      <c r="G28" s="397"/>
      <c r="H28" s="398"/>
      <c r="I28" s="398"/>
      <c r="J28" s="399"/>
      <c r="K28" s="44"/>
      <c r="L28" s="136"/>
      <c r="M28" s="124"/>
      <c r="N28" s="124"/>
      <c r="O28" s="124"/>
      <c r="P28" s="138" t="str">
        <f>IF(D$28="No","","(*)")</f>
        <v/>
      </c>
      <c r="R28" s="12"/>
      <c r="S28" s="12"/>
      <c r="T28" s="12"/>
      <c r="U28" s="12"/>
      <c r="V28" s="12"/>
      <c r="W28" s="12"/>
      <c r="X28" s="12"/>
      <c r="Y28" s="12"/>
      <c r="Z28" s="12"/>
      <c r="AA28" s="12"/>
      <c r="AB28" s="12"/>
      <c r="AC28" s="12"/>
      <c r="AD28" s="12"/>
      <c r="AE28" s="12"/>
      <c r="AF28" s="12"/>
      <c r="AG28" s="12"/>
      <c r="AH28" s="12"/>
    </row>
    <row r="29" spans="1:34" ht="22.2">
      <c r="A29" s="49"/>
      <c r="B29" s="48" t="str">
        <f ca="1">OFFSET(L!$C$1,MATCH("Declaration"&amp;ADDRESS(ROW(),COLUMN(),4),L!$A:$A,0)-1,SL,,)&amp;P29</f>
        <v xml:space="preserve">Tungsten  </v>
      </c>
      <c r="C29" s="43"/>
      <c r="D29" s="389" t="s">
        <v>15663</v>
      </c>
      <c r="E29" s="390"/>
      <c r="F29" s="15"/>
      <c r="G29" s="397"/>
      <c r="H29" s="398"/>
      <c r="I29" s="398"/>
      <c r="J29" s="399"/>
      <c r="K29" s="44"/>
      <c r="L29" s="136"/>
      <c r="M29" s="124"/>
      <c r="N29" s="124"/>
      <c r="O29" s="124"/>
      <c r="P29" s="138" t="str">
        <f>IF(D$29="No","","(*)")</f>
        <v/>
      </c>
      <c r="R29" s="12"/>
      <c r="S29" s="12"/>
      <c r="T29" s="12"/>
      <c r="U29" s="12"/>
      <c r="V29" s="12"/>
      <c r="W29" s="12"/>
      <c r="X29" s="12"/>
      <c r="Y29" s="12"/>
      <c r="Z29" s="12"/>
      <c r="AA29" s="12"/>
      <c r="AB29" s="12"/>
      <c r="AC29" s="12"/>
      <c r="AD29" s="12"/>
      <c r="AE29" s="12"/>
      <c r="AF29" s="12"/>
      <c r="AG29" s="12"/>
      <c r="AH29" s="12"/>
    </row>
    <row r="30" spans="1:34" ht="17.399999999999999">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 customHeight="1">
      <c r="A31" s="49"/>
      <c r="B31" s="52" t="str">
        <f ca="1">OFFSET(L!$C$1,MATCH("Declaration"&amp;ADDRESS(ROW(),COLUMN(),4),L!$A:$A,0)-1,SL,,)&amp;Q$37</f>
        <v>2) Does any 3TG remain in the product(s)? (*)</v>
      </c>
      <c r="C31" s="13"/>
      <c r="D31" s="394" t="str">
        <f ca="1">D25</f>
        <v>Answer</v>
      </c>
      <c r="E31" s="394"/>
      <c r="F31" s="21"/>
      <c r="G31" s="52" t="str">
        <f ca="1">G25</f>
        <v>Comments</v>
      </c>
      <c r="H31" s="52"/>
      <c r="I31" s="52"/>
      <c r="J31" s="93"/>
      <c r="K31" s="44"/>
      <c r="L31" s="130" t="s">
        <v>1243</v>
      </c>
      <c r="M31" s="124"/>
      <c r="N31" s="124"/>
      <c r="O31" s="125"/>
      <c r="P31" s="53">
        <f>COUNTIF(D$26:D$29,"No")</f>
        <v>3</v>
      </c>
      <c r="Q31" s="53" t="str">
        <f>IF(P31=4,""," (*)")</f>
        <v xml:space="preserve"> (*)</v>
      </c>
      <c r="R31" s="12"/>
      <c r="S31" s="12"/>
      <c r="T31" s="12"/>
      <c r="U31" s="12"/>
      <c r="V31" s="12"/>
      <c r="W31" s="12"/>
      <c r="X31" s="12"/>
      <c r="Y31" s="12"/>
      <c r="Z31" s="12"/>
      <c r="AA31" s="12"/>
      <c r="AB31" s="12"/>
      <c r="AC31" s="12"/>
      <c r="AD31" s="12"/>
      <c r="AE31" s="12"/>
      <c r="AF31" s="12"/>
      <c r="AG31" s="12"/>
      <c r="AH31" s="12"/>
    </row>
    <row r="32" spans="1:34" ht="22.2">
      <c r="A32" s="49"/>
      <c r="B32" s="48" t="str">
        <f ca="1">B26</f>
        <v xml:space="preserve">Tantalum  </v>
      </c>
      <c r="C32" s="13"/>
      <c r="D32" s="395"/>
      <c r="E32" s="396"/>
      <c r="F32" s="55"/>
      <c r="G32" s="397"/>
      <c r="H32" s="398"/>
      <c r="I32" s="398"/>
      <c r="J32" s="399"/>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2.2">
      <c r="A33" s="49"/>
      <c r="B33" s="48" t="str">
        <f ca="1">B27</f>
        <v>Tin  (*)</v>
      </c>
      <c r="C33" s="13"/>
      <c r="D33" s="389" t="s">
        <v>488</v>
      </c>
      <c r="E33" s="390"/>
      <c r="F33" s="55"/>
      <c r="G33" s="397"/>
      <c r="H33" s="398"/>
      <c r="I33" s="398"/>
      <c r="J33" s="399"/>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2.2">
      <c r="A34" s="49"/>
      <c r="B34" s="48" t="str">
        <f ca="1">B28</f>
        <v xml:space="preserve">Gold  </v>
      </c>
      <c r="C34" s="13"/>
      <c r="D34" s="389"/>
      <c r="E34" s="390"/>
      <c r="F34" s="55"/>
      <c r="G34" s="397"/>
      <c r="H34" s="398"/>
      <c r="I34" s="398"/>
      <c r="J34" s="399"/>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2.2">
      <c r="A35" s="49"/>
      <c r="B35" s="48" t="str">
        <f ca="1">B29</f>
        <v xml:space="preserve">Tungsten  </v>
      </c>
      <c r="C35" s="13"/>
      <c r="D35" s="389"/>
      <c r="E35" s="390"/>
      <c r="F35" s="55"/>
      <c r="G35" s="397"/>
      <c r="H35" s="398"/>
      <c r="I35" s="398"/>
      <c r="J35" s="399"/>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7.399999999999999">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 customHeight="1">
      <c r="A37" s="49"/>
      <c r="B37" s="52" t="str">
        <f ca="1">OFFSET(L!$C$1,MATCH("Declaration"&amp;ADDRESS(ROW(),COLUMN(),4),L!$A:$A,0)-1,SL,,)&amp;Q$37</f>
        <v>3) Do any of the smelters in your supply chain source the 3TG from the covered countries? (SEC term, see definitions tab) (*)</v>
      </c>
      <c r="C37" s="13"/>
      <c r="D37" s="394" t="str">
        <f ca="1">D25</f>
        <v>Answer</v>
      </c>
      <c r="E37" s="394"/>
      <c r="F37" s="21"/>
      <c r="G37" s="52" t="str">
        <f ca="1">G25</f>
        <v>Comments</v>
      </c>
      <c r="H37" s="438"/>
      <c r="I37" s="438"/>
      <c r="J37" s="438"/>
      <c r="K37" s="44"/>
      <c r="L37" s="130" t="s">
        <v>1243</v>
      </c>
      <c r="M37" s="124"/>
      <c r="N37" s="124"/>
      <c r="O37" s="125"/>
      <c r="P37" s="53">
        <f>COUNTIF(D$26:D$29,"No")+COUNTIF(D$32:D$35,"No")</f>
        <v>3</v>
      </c>
      <c r="Q37" s="53" t="str">
        <f>IF(P37&gt;3,""," (*)")</f>
        <v xml:space="preserve"> (*)</v>
      </c>
      <c r="R37" s="12"/>
      <c r="S37" s="12"/>
      <c r="T37" s="12"/>
      <c r="U37" s="12"/>
      <c r="V37" s="12"/>
      <c r="W37" s="12"/>
      <c r="X37" s="12"/>
      <c r="Y37" s="12"/>
      <c r="Z37" s="12"/>
      <c r="AA37" s="12"/>
      <c r="AB37" s="12"/>
      <c r="AC37" s="12"/>
      <c r="AD37" s="12"/>
      <c r="AE37" s="12"/>
      <c r="AF37" s="12"/>
      <c r="AG37" s="12"/>
      <c r="AH37" s="12"/>
    </row>
    <row r="38" spans="1:34" ht="22.2">
      <c r="A38" s="49"/>
      <c r="B38" s="48" t="str">
        <f ca="1">OFFSET(L!$C$1,MATCH("Declaration"&amp;ADDRESS(ROW(),COLUMN(),4),L!$A:$A,0)-1,SL,,)&amp;P38</f>
        <v xml:space="preserve">Tantalum  </v>
      </c>
      <c r="C38" s="13"/>
      <c r="D38" s="389"/>
      <c r="E38" s="390"/>
      <c r="F38" s="55"/>
      <c r="G38" s="397"/>
      <c r="H38" s="398"/>
      <c r="I38" s="398"/>
      <c r="J38" s="399"/>
      <c r="K38" s="44"/>
      <c r="L38" s="136"/>
      <c r="M38" s="126"/>
      <c r="N38" s="124"/>
      <c r="O38" s="125"/>
      <c r="P38" s="138" t="str">
        <f>IF((OR(D$26="No",D$32="No")),"","(*)")</f>
        <v/>
      </c>
      <c r="Q38" s="12"/>
      <c r="R38" s="12"/>
      <c r="S38" s="12"/>
      <c r="T38" s="12"/>
      <c r="U38" s="12"/>
      <c r="V38" s="12"/>
      <c r="W38" s="12"/>
      <c r="X38" s="12"/>
      <c r="Y38" s="12"/>
      <c r="Z38" s="12"/>
      <c r="AA38" s="12"/>
      <c r="AB38" s="12"/>
      <c r="AC38" s="12"/>
      <c r="AD38" s="12"/>
      <c r="AE38" s="12"/>
      <c r="AF38" s="12"/>
      <c r="AG38" s="12"/>
    </row>
    <row r="39" spans="1:34" ht="22.2">
      <c r="A39" s="49"/>
      <c r="B39" s="48" t="str">
        <f ca="1">OFFSET(L!$C$1,MATCH("Declaration"&amp;ADDRESS(ROW(),COLUMN(),4),L!$A:$A,0)-1,SL,,)&amp;P39</f>
        <v>Tin  (*)</v>
      </c>
      <c r="C39" s="13"/>
      <c r="D39" s="389" t="s">
        <v>488</v>
      </c>
      <c r="E39" s="390"/>
      <c r="F39" s="55"/>
      <c r="G39" s="397"/>
      <c r="H39" s="398"/>
      <c r="I39" s="398"/>
      <c r="J39" s="399"/>
      <c r="K39" s="44"/>
      <c r="L39" s="136"/>
      <c r="M39" s="124"/>
      <c r="N39" s="124"/>
      <c r="O39" s="125"/>
      <c r="P39" s="138" t="str">
        <f>IF((OR(D$27="No",D$33="No")),"","(*)")</f>
        <v>(*)</v>
      </c>
      <c r="Q39" s="12"/>
      <c r="R39" s="12"/>
      <c r="S39" s="12"/>
      <c r="T39" s="12"/>
      <c r="U39" s="12"/>
      <c r="V39" s="12"/>
      <c r="W39" s="12"/>
      <c r="X39" s="12"/>
      <c r="Y39" s="12"/>
      <c r="Z39" s="12"/>
      <c r="AA39" s="12"/>
      <c r="AB39" s="12"/>
      <c r="AC39" s="12"/>
      <c r="AD39" s="12"/>
      <c r="AE39" s="12"/>
      <c r="AF39" s="12"/>
      <c r="AG39" s="12"/>
    </row>
    <row r="40" spans="1:34" ht="22.2">
      <c r="A40" s="49"/>
      <c r="B40" s="48" t="str">
        <f ca="1">OFFSET(L!$C$1,MATCH("Declaration"&amp;ADDRESS(ROW(),COLUMN(),4),L!$A:$A,0)-1,SL,,)&amp;P40</f>
        <v xml:space="preserve">Gold  </v>
      </c>
      <c r="C40" s="13"/>
      <c r="D40" s="389"/>
      <c r="E40" s="390"/>
      <c r="F40" s="55"/>
      <c r="G40" s="397"/>
      <c r="H40" s="398"/>
      <c r="I40" s="398"/>
      <c r="J40" s="399"/>
      <c r="K40" s="44"/>
      <c r="L40" s="136"/>
      <c r="M40" s="124"/>
      <c r="N40" s="124"/>
      <c r="O40" s="125"/>
      <c r="P40" s="138" t="str">
        <f>IF((OR(D$28="No",D$34="No")),"","(*)")</f>
        <v/>
      </c>
      <c r="Q40" s="12"/>
      <c r="R40" s="12"/>
      <c r="S40" s="12"/>
      <c r="T40" s="12"/>
      <c r="U40" s="12"/>
      <c r="V40" s="12"/>
      <c r="W40" s="12"/>
      <c r="X40" s="12"/>
      <c r="Y40" s="12"/>
      <c r="Z40" s="12"/>
      <c r="AA40" s="12"/>
      <c r="AB40" s="12"/>
      <c r="AC40" s="12"/>
      <c r="AD40" s="12"/>
      <c r="AE40" s="12"/>
      <c r="AF40" s="12"/>
      <c r="AG40" s="12"/>
    </row>
    <row r="41" spans="1:34" ht="22.2">
      <c r="A41" s="49"/>
      <c r="B41" s="48" t="str">
        <f ca="1">OFFSET(L!$C$1,MATCH("Declaration"&amp;ADDRESS(ROW(),COLUMN(),4),L!$A:$A,0)-1,SL,,)&amp;P41</f>
        <v xml:space="preserve">Tungsten  </v>
      </c>
      <c r="C41" s="13"/>
      <c r="D41" s="389"/>
      <c r="E41" s="390"/>
      <c r="F41" s="55"/>
      <c r="G41" s="397"/>
      <c r="H41" s="398"/>
      <c r="I41" s="398"/>
      <c r="J41" s="399"/>
      <c r="K41" s="44"/>
      <c r="L41" s="136"/>
      <c r="M41" s="124"/>
      <c r="N41" s="124"/>
      <c r="O41" s="125"/>
      <c r="P41" s="138" t="str">
        <f>IF((OR(D$29="No",D$35="No")),"","(*)")</f>
        <v/>
      </c>
      <c r="Q41" s="12"/>
      <c r="R41" s="12"/>
      <c r="S41" s="12"/>
      <c r="T41" s="12"/>
      <c r="U41" s="12"/>
      <c r="V41" s="12"/>
      <c r="W41" s="12"/>
      <c r="X41" s="12"/>
      <c r="Y41" s="12"/>
      <c r="Z41" s="12"/>
      <c r="AA41" s="12"/>
      <c r="AB41" s="12"/>
      <c r="AC41" s="12"/>
      <c r="AD41" s="12"/>
      <c r="AE41" s="12"/>
      <c r="AF41" s="12"/>
      <c r="AG41" s="12"/>
    </row>
    <row r="42" spans="1:34" ht="17.399999999999999">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 customHeight="1">
      <c r="A43" s="49"/>
      <c r="B43" s="52" t="str">
        <f ca="1">OFFSET(L!$C$1,MATCH("Declaration"&amp;ADDRESS(ROW(),COLUMN(),4),L!$A:$A,0)-1,SL,,)&amp;Q$37</f>
        <v>4) Do any of the smelters in your supply chain source the 3TG from conflict-affected and high-risk areas? (*)</v>
      </c>
      <c r="C43" s="13"/>
      <c r="D43" s="394" t="str">
        <f ca="1">D25</f>
        <v>Answer</v>
      </c>
      <c r="E43" s="394"/>
      <c r="F43" s="21"/>
      <c r="G43" s="52" t="str">
        <f ca="1">G25</f>
        <v>Comments</v>
      </c>
      <c r="H43" s="52"/>
      <c r="I43" s="52"/>
      <c r="J43" s="93"/>
      <c r="K43" s="44"/>
      <c r="L43" s="130"/>
      <c r="M43" s="124"/>
      <c r="N43" s="124"/>
      <c r="O43" s="125"/>
      <c r="P43" s="53">
        <f>COUNTIF(D$26:D$29,"No")+COUNTIF(D$32:D$35,"No")</f>
        <v>3</v>
      </c>
      <c r="Q43" s="53"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49"/>
      <c r="B44" s="48" t="str">
        <f ca="1">OFFSET(L!$C$1,MATCH("Declaration"&amp;ADDRESS(ROW(),COLUMN(),4),L!$A:$A,0)-1,SL,,)&amp;P44</f>
        <v xml:space="preserve">Tantalum  </v>
      </c>
      <c r="C44" s="13"/>
      <c r="D44" s="389"/>
      <c r="E44" s="390"/>
      <c r="F44" s="55"/>
      <c r="G44" s="397"/>
      <c r="H44" s="398"/>
      <c r="I44" s="398"/>
      <c r="J44" s="399"/>
      <c r="K44" s="44"/>
      <c r="L44" s="130"/>
      <c r="M44" s="124"/>
      <c r="N44" s="124"/>
      <c r="O44" s="125"/>
      <c r="P44" s="138" t="str">
        <f>IF((OR(D$26="No",D$32="No")),"","(*)")</f>
        <v/>
      </c>
      <c r="Q44" s="12"/>
      <c r="R44" s="12"/>
      <c r="S44" s="12"/>
      <c r="T44" s="12"/>
      <c r="U44" s="12"/>
      <c r="V44" s="12"/>
      <c r="W44" s="12"/>
      <c r="X44" s="12"/>
      <c r="Y44" s="12"/>
      <c r="Z44" s="12"/>
      <c r="AA44" s="12"/>
      <c r="AB44" s="12"/>
      <c r="AC44" s="12"/>
      <c r="AD44" s="12"/>
      <c r="AE44" s="12"/>
      <c r="AF44" s="12"/>
      <c r="AG44" s="12"/>
      <c r="AH44" s="12"/>
    </row>
    <row r="45" spans="1:34" ht="23.1" customHeight="1">
      <c r="A45" s="49"/>
      <c r="B45" s="48" t="str">
        <f ca="1">OFFSET(L!$C$1,MATCH("Declaration"&amp;ADDRESS(ROW(),COLUMN(),4),L!$A:$A,0)-1,SL,,)&amp;P45</f>
        <v>Tin  (*)</v>
      </c>
      <c r="C45" s="13"/>
      <c r="D45" s="389" t="s">
        <v>488</v>
      </c>
      <c r="E45" s="390"/>
      <c r="F45" s="55"/>
      <c r="G45" s="397"/>
      <c r="H45" s="398"/>
      <c r="I45" s="398"/>
      <c r="J45" s="399"/>
      <c r="K45" s="44"/>
      <c r="L45" s="130"/>
      <c r="M45" s="124"/>
      <c r="N45" s="124"/>
      <c r="O45" s="125"/>
      <c r="P45" s="138"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49"/>
      <c r="B46" s="48" t="str">
        <f ca="1">OFFSET(L!$C$1,MATCH("Declaration"&amp;ADDRESS(ROW(),COLUMN(),4),L!$A:$A,0)-1,SL,,)&amp;P46</f>
        <v xml:space="preserve">Gold  </v>
      </c>
      <c r="C46" s="13"/>
      <c r="D46" s="389"/>
      <c r="E46" s="390"/>
      <c r="F46" s="55"/>
      <c r="G46" s="397"/>
      <c r="H46" s="398"/>
      <c r="I46" s="398"/>
      <c r="J46" s="399"/>
      <c r="K46" s="44"/>
      <c r="L46" s="130"/>
      <c r="M46" s="124"/>
      <c r="N46" s="124"/>
      <c r="O46" s="125"/>
      <c r="P46" s="138" t="str">
        <f>IF((OR(D$28="No",D$34="No")),"","(*)")</f>
        <v/>
      </c>
      <c r="Q46" s="12"/>
      <c r="R46" s="12"/>
      <c r="S46" s="12"/>
      <c r="T46" s="12"/>
      <c r="U46" s="12"/>
      <c r="V46" s="12"/>
      <c r="W46" s="12"/>
      <c r="X46" s="12"/>
      <c r="Y46" s="12"/>
      <c r="Z46" s="12"/>
      <c r="AA46" s="12"/>
      <c r="AB46" s="12"/>
      <c r="AC46" s="12"/>
      <c r="AD46" s="12"/>
      <c r="AE46" s="12"/>
      <c r="AF46" s="12"/>
      <c r="AG46" s="12"/>
      <c r="AH46" s="12"/>
    </row>
    <row r="47" spans="1:34" ht="23.1" customHeight="1">
      <c r="A47" s="49"/>
      <c r="B47" s="48" t="str">
        <f ca="1">OFFSET(L!$C$1,MATCH("Declaration"&amp;ADDRESS(ROW(),COLUMN(),4),L!$A:$A,0)-1,SL,,)&amp;P47</f>
        <v xml:space="preserve">Tungsten  </v>
      </c>
      <c r="C47" s="13"/>
      <c r="D47" s="389"/>
      <c r="E47" s="390"/>
      <c r="F47" s="55"/>
      <c r="G47" s="397"/>
      <c r="H47" s="398"/>
      <c r="I47" s="398"/>
      <c r="J47" s="399"/>
      <c r="K47" s="44"/>
      <c r="L47" s="130"/>
      <c r="M47" s="124"/>
      <c r="N47" s="124"/>
      <c r="O47" s="125"/>
      <c r="P47" s="138" t="str">
        <f>IF((OR(D$29="No",D$35="No")),"","(*)")</f>
        <v/>
      </c>
      <c r="Q47" s="12"/>
      <c r="R47" s="12"/>
      <c r="S47" s="12"/>
      <c r="T47" s="12"/>
      <c r="U47" s="12"/>
      <c r="V47" s="12"/>
      <c r="W47" s="12"/>
      <c r="X47" s="12"/>
      <c r="Y47" s="12"/>
      <c r="Z47" s="12"/>
      <c r="AA47" s="12"/>
      <c r="AB47" s="12"/>
      <c r="AC47" s="12"/>
      <c r="AD47" s="12"/>
      <c r="AE47" s="12"/>
      <c r="AF47" s="12"/>
      <c r="AG47" s="12"/>
      <c r="AH47" s="12"/>
    </row>
    <row r="48" spans="1:34" ht="23.1"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 customHeight="1">
      <c r="A49" s="49"/>
      <c r="B49" s="52" t="str">
        <f ca="1">OFFSET(L!$C$1,MATCH("Declaration"&amp;ADDRESS(ROW(),COLUMN(),4),L!$A:$A,0)-1,SL,,)&amp;Q$37</f>
        <v>5) Does 100 percent of the 3TG (necessary to the functionality or production of your products) originate from recycled or scrap sources?  (*)</v>
      </c>
      <c r="C49" s="13"/>
      <c r="D49" s="394" t="str">
        <f ca="1">D25</f>
        <v>Answer</v>
      </c>
      <c r="E49" s="394"/>
      <c r="F49" s="21"/>
      <c r="G49" s="52" t="str">
        <f ca="1">G25</f>
        <v>Comments</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2.2">
      <c r="A50" s="49"/>
      <c r="B50" s="48" t="str">
        <f ca="1">B38</f>
        <v xml:space="preserve">Tantalum  </v>
      </c>
      <c r="C50" s="13"/>
      <c r="D50" s="389"/>
      <c r="E50" s="390"/>
      <c r="F50" s="55"/>
      <c r="G50" s="397"/>
      <c r="H50" s="398"/>
      <c r="I50" s="398"/>
      <c r="J50" s="399"/>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2.2">
      <c r="A51" s="49"/>
      <c r="B51" s="48" t="str">
        <f ca="1">B39</f>
        <v>Tin  (*)</v>
      </c>
      <c r="C51" s="13"/>
      <c r="D51" s="389" t="s">
        <v>489</v>
      </c>
      <c r="E51" s="390"/>
      <c r="F51" s="55"/>
      <c r="G51" s="397"/>
      <c r="H51" s="398"/>
      <c r="I51" s="398"/>
      <c r="J51" s="399"/>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2.2">
      <c r="A52" s="49"/>
      <c r="B52" s="48" t="str">
        <f ca="1">B40</f>
        <v xml:space="preserve">Gold  </v>
      </c>
      <c r="C52" s="13"/>
      <c r="D52" s="389"/>
      <c r="E52" s="390"/>
      <c r="F52" s="55"/>
      <c r="G52" s="397"/>
      <c r="H52" s="398"/>
      <c r="I52" s="398"/>
      <c r="J52" s="399"/>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2.2">
      <c r="A53" s="49"/>
      <c r="B53" s="48" t="str">
        <f ca="1">B41</f>
        <v xml:space="preserve">Tungsten  </v>
      </c>
      <c r="C53" s="13"/>
      <c r="D53" s="389"/>
      <c r="E53" s="390"/>
      <c r="F53" s="55"/>
      <c r="G53" s="397"/>
      <c r="H53" s="398"/>
      <c r="I53" s="398"/>
      <c r="J53" s="399"/>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7.399999999999999">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 customHeight="1">
      <c r="A55" s="49"/>
      <c r="B55" s="332" t="str">
        <f ca="1">OFFSET(L!$C$1,MATCH("Declaration"&amp;ADDRESS(ROW(),COLUMN(),4),L!$A:$A,0)-1,SL,,)&amp;Q$37</f>
        <v>6) What percentage of relevant suppliers have provided a response to your supply chain survey?  (*)</v>
      </c>
      <c r="C55" s="13"/>
      <c r="D55" s="394" t="str">
        <f ca="1">D25</f>
        <v>Answer</v>
      </c>
      <c r="E55" s="394"/>
      <c r="F55" s="21"/>
      <c r="G55" s="52" t="str">
        <f ca="1">G25</f>
        <v>Comments</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2.2">
      <c r="A56" s="49"/>
      <c r="B56" s="48" t="str">
        <f ca="1">B38</f>
        <v xml:space="preserve">Tantalum  </v>
      </c>
      <c r="C56" s="43"/>
      <c r="D56" s="432"/>
      <c r="E56" s="433"/>
      <c r="F56" s="55"/>
      <c r="G56" s="397"/>
      <c r="H56" s="398"/>
      <c r="I56" s="398"/>
      <c r="J56" s="399"/>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2.2">
      <c r="A57" s="49"/>
      <c r="B57" s="48" t="str">
        <f ca="1">B39</f>
        <v>Tin  (*)</v>
      </c>
      <c r="C57" s="43"/>
      <c r="D57" s="432">
        <v>1</v>
      </c>
      <c r="E57" s="433"/>
      <c r="F57" s="55"/>
      <c r="G57" s="397"/>
      <c r="H57" s="398"/>
      <c r="I57" s="398"/>
      <c r="J57" s="399"/>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2.2">
      <c r="A58" s="49"/>
      <c r="B58" s="48" t="str">
        <f ca="1">B40</f>
        <v xml:space="preserve">Gold  </v>
      </c>
      <c r="C58" s="43"/>
      <c r="D58" s="432"/>
      <c r="E58" s="433"/>
      <c r="F58" s="55"/>
      <c r="G58" s="397"/>
      <c r="H58" s="398"/>
      <c r="I58" s="398"/>
      <c r="J58" s="399"/>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2.2">
      <c r="A59" s="49"/>
      <c r="B59" s="48" t="str">
        <f ca="1">B41</f>
        <v xml:space="preserve">Tungsten  </v>
      </c>
      <c r="C59" s="43"/>
      <c r="D59" s="432"/>
      <c r="E59" s="433"/>
      <c r="F59" s="55"/>
      <c r="G59" s="397"/>
      <c r="H59" s="398"/>
      <c r="I59" s="398"/>
      <c r="J59" s="399"/>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6.2">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 customHeight="1">
      <c r="A61" s="49"/>
      <c r="B61" s="332" t="str">
        <f ca="1">OFFSET(L!$C$1,MATCH("Declaration"&amp;ADDRESS(ROW(),COLUMN(),4),L!$A:$A,0)-1,SL,,)&amp;Q$37</f>
        <v>7) Have you identified all of the smelters supplying the 3TG to your supply chain?  (*)</v>
      </c>
      <c r="C61" s="13"/>
      <c r="D61" s="394" t="str">
        <f ca="1">D25</f>
        <v>Answer</v>
      </c>
      <c r="E61" s="394"/>
      <c r="F61" s="21"/>
      <c r="G61" s="52" t="str">
        <f ca="1">G25</f>
        <v>Comments</v>
      </c>
      <c r="H61" s="437"/>
      <c r="I61" s="437"/>
      <c r="J61" s="437"/>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2.2">
      <c r="A62" s="49"/>
      <c r="B62" s="48" t="str">
        <f ca="1">B38</f>
        <v xml:space="preserve">Tantalum  </v>
      </c>
      <c r="C62" s="13"/>
      <c r="D62" s="395"/>
      <c r="E62" s="396"/>
      <c r="F62" s="55"/>
      <c r="G62" s="397"/>
      <c r="H62" s="398"/>
      <c r="I62" s="398"/>
      <c r="J62" s="399"/>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2.2">
      <c r="A63" s="49"/>
      <c r="B63" s="48" t="str">
        <f ca="1">B39</f>
        <v>Tin  (*)</v>
      </c>
      <c r="C63" s="13"/>
      <c r="D63" s="389" t="s">
        <v>488</v>
      </c>
      <c r="E63" s="390"/>
      <c r="F63" s="55"/>
      <c r="G63" s="397"/>
      <c r="H63" s="398"/>
      <c r="I63" s="398"/>
      <c r="J63" s="399"/>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2.2">
      <c r="A64" s="49"/>
      <c r="B64" s="48" t="str">
        <f ca="1">B40</f>
        <v xml:space="preserve">Gold  </v>
      </c>
      <c r="C64" s="13"/>
      <c r="D64" s="389"/>
      <c r="E64" s="390"/>
      <c r="F64" s="55"/>
      <c r="G64" s="397"/>
      <c r="H64" s="398"/>
      <c r="I64" s="398"/>
      <c r="J64" s="399"/>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2.2">
      <c r="A65" s="49"/>
      <c r="B65" s="48" t="str">
        <f ca="1">B41</f>
        <v xml:space="preserve">Tungsten  </v>
      </c>
      <c r="C65" s="13"/>
      <c r="D65" s="389"/>
      <c r="E65" s="390"/>
      <c r="F65" s="55"/>
      <c r="G65" s="397"/>
      <c r="H65" s="398"/>
      <c r="I65" s="398"/>
      <c r="J65" s="399"/>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6.2">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 customHeight="1">
      <c r="A67" s="49"/>
      <c r="B67" s="52" t="str">
        <f ca="1">OFFSET(L!$C$1,MATCH("Declaration"&amp;ADDRESS(ROW(),COLUMN(),4),L!$A:$A,0)-1,SL,,)&amp;Q$37</f>
        <v>8) Has all applicable smelter information received by your company been reported in this declaration?  (*)</v>
      </c>
      <c r="C67" s="13"/>
      <c r="D67" s="394" t="str">
        <f ca="1">D25</f>
        <v>Answer</v>
      </c>
      <c r="E67" s="394"/>
      <c r="F67" s="21"/>
      <c r="G67" s="52" t="str">
        <f ca="1">G25</f>
        <v>Comments</v>
      </c>
      <c r="H67" s="437" t="str">
        <f>IF(Q75="(*)","Click here to enter smelter names","")</f>
        <v/>
      </c>
      <c r="I67" s="437"/>
      <c r="J67" s="437"/>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2.2">
      <c r="A68" s="49"/>
      <c r="B68" s="48" t="str">
        <f ca="1">B38</f>
        <v xml:space="preserve">Tantalum  </v>
      </c>
      <c r="C68" s="43"/>
      <c r="D68" s="389"/>
      <c r="E68" s="390"/>
      <c r="F68" s="56"/>
      <c r="G68" s="397"/>
      <c r="H68" s="398"/>
      <c r="I68" s="398"/>
      <c r="J68" s="399"/>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2.2">
      <c r="A69" s="49"/>
      <c r="B69" s="48" t="str">
        <f ca="1">B39</f>
        <v>Tin  (*)</v>
      </c>
      <c r="C69" s="43"/>
      <c r="D69" s="389" t="s">
        <v>488</v>
      </c>
      <c r="E69" s="390"/>
      <c r="F69" s="56"/>
      <c r="G69" s="397"/>
      <c r="H69" s="398"/>
      <c r="I69" s="398"/>
      <c r="J69" s="399"/>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2.2">
      <c r="A70" s="49"/>
      <c r="B70" s="48" t="str">
        <f ca="1">B40</f>
        <v xml:space="preserve">Gold  </v>
      </c>
      <c r="C70" s="43"/>
      <c r="D70" s="389"/>
      <c r="E70" s="390"/>
      <c r="F70" s="56"/>
      <c r="G70" s="397"/>
      <c r="H70" s="398"/>
      <c r="I70" s="398"/>
      <c r="J70" s="399"/>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2.2">
      <c r="A71" s="46"/>
      <c r="B71" s="48" t="str">
        <f ca="1">B41</f>
        <v xml:space="preserve">Tungsten  </v>
      </c>
      <c r="C71" s="57"/>
      <c r="D71" s="389"/>
      <c r="E71" s="390"/>
      <c r="F71" s="58"/>
      <c r="G71" s="397"/>
      <c r="H71" s="398"/>
      <c r="I71" s="398"/>
      <c r="J71" s="399"/>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6.2">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6.2">
      <c r="A73" s="49"/>
      <c r="B73" s="450" t="str">
        <f ca="1">OFFSET(L!$C$1,MATCH("Declaration"&amp;ADDRESS(ROW(),COLUMN(),4),L!$A:$A,0)-1,SL,,)</f>
        <v>Answer the Following Questions at a Company Level</v>
      </c>
      <c r="C73" s="450"/>
      <c r="D73" s="450"/>
      <c r="E73" s="450"/>
      <c r="F73" s="450"/>
      <c r="G73" s="450"/>
      <c r="H73" s="450"/>
      <c r="I73" s="450"/>
      <c r="J73" s="450"/>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6.2">
      <c r="A74" s="59"/>
      <c r="B74" s="60" t="str">
        <f ca="1">OFFSET(L!$C$1,MATCH("Declaration"&amp;ADDRESS(ROW(),COLUMN(),4),L!$A:$A,0)-1,SL,,)</f>
        <v>Question</v>
      </c>
      <c r="C74" s="91"/>
      <c r="D74" s="400" t="str">
        <f ca="1">D25</f>
        <v>Answer</v>
      </c>
      <c r="E74" s="400"/>
      <c r="F74" s="61"/>
      <c r="G74" s="400" t="str">
        <f ca="1">G25</f>
        <v>Comments</v>
      </c>
      <c r="H74" s="400" t="e">
        <f>HLOOKUP(SL,LT,$O74,0)</f>
        <v>#NAME?</v>
      </c>
      <c r="I74" s="400"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2.4">
      <c r="A75" s="49"/>
      <c r="B75" s="64" t="str">
        <f ca="1">OFFSET(L!$C$1,MATCH("Declaration"&amp;ADDRESS(ROW(),COLUMN(),4),L!$A:$A,0)-1,SL,,)&amp;$Q$37</f>
        <v>A. Have you established a responsible minerals sourcing policy? (*)</v>
      </c>
      <c r="C75" s="65"/>
      <c r="D75" s="389" t="s">
        <v>15664</v>
      </c>
      <c r="E75" s="390"/>
      <c r="F75" s="65"/>
      <c r="G75" s="397"/>
      <c r="H75" s="398"/>
      <c r="I75" s="398"/>
      <c r="J75" s="399"/>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6.2">
      <c r="A76" s="49"/>
      <c r="B76" s="66"/>
      <c r="C76" s="15"/>
      <c r="D76" s="1"/>
      <c r="E76" s="1"/>
      <c r="F76" s="15"/>
      <c r="G76" s="445"/>
      <c r="H76" s="445"/>
      <c r="I76" s="445"/>
      <c r="J76" s="445"/>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35" customHeight="1">
      <c r="A77" s="49"/>
      <c r="B77" s="64" t="str">
        <f ca="1">OFFSET(L!$C$1,MATCH("Declaration"&amp;ADDRESS(ROW(),COLUMN(),4),L!$A:$A,0)-1,SL,,)&amp;$Q$37</f>
        <v>B. Is your responsible minerals sourcing policy publicly available on your website? (Note – If yes, the user shall specify the URL in the comment field.) (*)</v>
      </c>
      <c r="C77" s="65"/>
      <c r="D77" s="389" t="s">
        <v>15663</v>
      </c>
      <c r="E77" s="390"/>
      <c r="F77" s="65"/>
      <c r="G77" s="401"/>
      <c r="H77" s="402"/>
      <c r="I77" s="402"/>
      <c r="J77" s="403"/>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6.2">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Do you require your direct suppliers to source the 3TG from smelters whose due diligence practices have been validated by an independent third party audit program? (*)</v>
      </c>
      <c r="C79" s="65"/>
      <c r="D79" s="389" t="s">
        <v>15663</v>
      </c>
      <c r="E79" s="390"/>
      <c r="F79" s="65"/>
      <c r="G79" s="397"/>
      <c r="H79" s="398"/>
      <c r="I79" s="398"/>
      <c r="J79" s="399"/>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6.2">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 customHeight="1">
      <c r="A81" s="49"/>
      <c r="B81" s="64" t="str">
        <f ca="1">OFFSET(L!$C$1,MATCH("Declaration"&amp;ADDRESS(ROW(),COLUMN(),4),L!$A:$A,0)-1,SL,,)&amp;$Q$37</f>
        <v>D. Have you implemented due diligence measures for responsible sourcing? (*)</v>
      </c>
      <c r="C81" s="65"/>
      <c r="D81" s="389" t="s">
        <v>15663</v>
      </c>
      <c r="E81" s="390"/>
      <c r="F81" s="65"/>
      <c r="G81" s="397"/>
      <c r="H81" s="398"/>
      <c r="I81" s="398"/>
      <c r="J81" s="399"/>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6.2">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Does your company conduct Conflict Minerals survey(s) of your relevant supplier(s)? (*)</v>
      </c>
      <c r="C83" s="65"/>
      <c r="D83" s="389" t="s">
        <v>15665</v>
      </c>
      <c r="E83" s="390"/>
      <c r="F83" s="65"/>
      <c r="G83" s="397"/>
      <c r="H83" s="398"/>
      <c r="I83" s="398"/>
      <c r="J83" s="399"/>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6.2">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Do you review due diligence information received from your suppliers against your company’s expectations? (*)</v>
      </c>
      <c r="C85" s="65"/>
      <c r="D85" s="443" t="s">
        <v>15663</v>
      </c>
      <c r="E85" s="444"/>
      <c r="F85" s="65"/>
      <c r="G85" s="397"/>
      <c r="H85" s="398"/>
      <c r="I85" s="398"/>
      <c r="J85" s="399"/>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6.2">
      <c r="A86" s="49"/>
      <c r="B86" s="69"/>
      <c r="C86" s="15"/>
      <c r="D86" s="1"/>
      <c r="E86" s="1"/>
      <c r="F86" s="16"/>
      <c r="G86" s="445"/>
      <c r="H86" s="445"/>
      <c r="I86" s="445"/>
      <c r="J86" s="445"/>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35" customHeight="1">
      <c r="A87" s="49"/>
      <c r="B87" s="64" t="str">
        <f ca="1">OFFSET(L!$C$1,MATCH("Declaration"&amp;ADDRESS(ROW(),COLUMN(),4),L!$A:$A,0)-1,SL,,)&amp;$Q$37</f>
        <v>G. Does your review process include corrective action management? (*)</v>
      </c>
      <c r="C87" s="65"/>
      <c r="D87" s="389" t="s">
        <v>15663</v>
      </c>
      <c r="E87" s="390"/>
      <c r="F87" s="65"/>
      <c r="G87" s="397"/>
      <c r="H87" s="398"/>
      <c r="I87" s="398"/>
      <c r="J87" s="399"/>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6.2">
      <c r="A88" s="49"/>
      <c r="B88" s="66"/>
      <c r="C88" s="15"/>
      <c r="D88" s="1"/>
      <c r="E88" s="1"/>
      <c r="F88" s="16"/>
      <c r="G88" s="446"/>
      <c r="H88" s="446"/>
      <c r="I88" s="446"/>
      <c r="J88" s="446"/>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2.4">
      <c r="A89" s="49"/>
      <c r="B89" s="64" t="str">
        <f ca="1">OFFSET(L!$C$1,MATCH("Declaration"&amp;ADDRESS(ROW(),COLUMN(),4),L!$A:$A,0)-1,SL,,)&amp;$Q$37</f>
        <v>H. Is your company required to file an annual conflict minerals disclosure? (*)</v>
      </c>
      <c r="C89" s="65"/>
      <c r="D89" s="389" t="s">
        <v>15663</v>
      </c>
      <c r="E89" s="390"/>
      <c r="F89" s="65"/>
      <c r="G89" s="397"/>
      <c r="H89" s="398"/>
      <c r="I89" s="398"/>
      <c r="J89" s="399"/>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6.2">
      <c r="A90" s="49"/>
      <c r="B90" s="442" t="str">
        <f>IF(OR($D$8="",$I$3=""),"","Click here to check required fields completion")</f>
        <v/>
      </c>
      <c r="C90" s="442"/>
      <c r="D90" s="442"/>
      <c r="E90" s="442"/>
      <c r="F90" s="442"/>
      <c r="G90" s="442"/>
      <c r="H90" s="442"/>
      <c r="I90" s="442"/>
      <c r="J90" s="442"/>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6.8" thickBot="1">
      <c r="A91" s="440" t="str">
        <f ca="1">OFFSET(L!$C$1,MATCH("General"&amp;"Cpy",L!$A:$A,0)-1,SL,,)</f>
        <v>© 2022 Responsible Minerals Initiative. All rights reserved.</v>
      </c>
      <c r="B91" s="441"/>
      <c r="C91" s="441"/>
      <c r="D91" s="441"/>
      <c r="E91" s="441"/>
      <c r="F91" s="441"/>
      <c r="G91" s="441"/>
      <c r="H91" s="441"/>
      <c r="I91" s="441"/>
      <c r="J91" s="441"/>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6.8"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 hidden="1">
      <c r="B98" s="64" t="s">
        <v>490</v>
      </c>
    </row>
    <row r="99" spans="2:2" ht="15" hidden="1">
      <c r="B99" s="214">
        <v>1</v>
      </c>
    </row>
    <row r="100" spans="2:2" ht="15" hidden="1">
      <c r="B100" s="279" t="s">
        <v>2504</v>
      </c>
    </row>
    <row r="101" spans="2:2" ht="15" hidden="1">
      <c r="B101" s="279" t="s">
        <v>2505</v>
      </c>
    </row>
    <row r="102" spans="2:2" ht="15" hidden="1">
      <c r="B102" s="279" t="s">
        <v>2506</v>
      </c>
    </row>
    <row r="103" spans="2:2" ht="15" hidden="1">
      <c r="B103" s="279" t="s">
        <v>2507</v>
      </c>
    </row>
    <row r="104" spans="2:2" ht="15" hidden="1">
      <c r="B104" s="279" t="s">
        <v>491</v>
      </c>
    </row>
    <row r="105" spans="2:2" ht="15" hidden="1">
      <c r="B105" s="279" t="s">
        <v>15082</v>
      </c>
    </row>
    <row r="106" spans="2:2" ht="15" hidden="1">
      <c r="B106" s="279" t="s">
        <v>12473</v>
      </c>
    </row>
    <row r="107" spans="2:2" ht="15" hidden="1">
      <c r="B107" s="279" t="s">
        <v>489</v>
      </c>
    </row>
    <row r="108" spans="2:2" ht="15" hidden="1">
      <c r="B108" s="279" t="s">
        <v>14064</v>
      </c>
    </row>
    <row r="109" spans="2:2" ht="15" hidden="1">
      <c r="B109" s="279" t="s">
        <v>14066</v>
      </c>
    </row>
    <row r="110" spans="2:2" ht="15" hidden="1">
      <c r="B110" s="279" t="s">
        <v>14067</v>
      </c>
    </row>
    <row r="111" spans="2:2" ht="15" hidden="1">
      <c r="B111" s="279" t="s">
        <v>489</v>
      </c>
    </row>
  </sheetData>
  <sheetProtection algorithmName="SHA-512" hashValue="bgBxb0nC6InGm+sM9kk3bNYPjO6hRnPCou5XCk4iH4cEFquF/SWXpXG+Ou1rqZ8Dyj2yeNHIcZQWsOWHnZb7SA==" saltValue="nSzrYZHme475IwVaLItmt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phoneticPr fontId="99"/>
  <conditionalFormatting sqref="D75:E75 D77:E77 D79:E79 D81:E81 D85:E85 D87:E87 D89:E89 D83">
    <cfRule type="expression" dxfId="84" priority="64" stopIfTrue="1">
      <formula>AND(OR($D$26="No",AND($D$26="Yes",$D$32="No")),OR($D$27="No",AND($D$27="Yes",$D$33="No")),OR($D$28="No",AND($D$28="Yes",$D$34="No")),OR($D$29="No",AND($D$29="Yes",$D$35="No")))</formula>
    </cfRule>
    <cfRule type="expression" dxfId="83" priority="65" stopIfTrue="1">
      <formula>IF(D75="",TRUE)</formula>
    </cfRule>
  </conditionalFormatting>
  <conditionalFormatting sqref="G77:J77">
    <cfRule type="expression" dxfId="82" priority="36" stopIfTrue="1">
      <formula>IF(AND($D$77="Yes",$G$77=""),TRUE)</formula>
    </cfRule>
  </conditionalFormatting>
  <conditionalFormatting sqref="D26:E26">
    <cfRule type="expression" dxfId="81" priority="116" stopIfTrue="1">
      <formula>IF($D$26="",TRUE)</formula>
    </cfRule>
  </conditionalFormatting>
  <conditionalFormatting sqref="D27:E27">
    <cfRule type="expression" dxfId="80" priority="123" stopIfTrue="1">
      <formula>IF($D$27="",TRUE)</formula>
    </cfRule>
  </conditionalFormatting>
  <conditionalFormatting sqref="D28:E28">
    <cfRule type="expression" dxfId="79" priority="124" stopIfTrue="1">
      <formula>IF($D$28="",TRUE)</formula>
    </cfRule>
  </conditionalFormatting>
  <conditionalFormatting sqref="D29:E29">
    <cfRule type="expression" dxfId="78" priority="125" stopIfTrue="1">
      <formula>IF($D$29="",TRUE)</formula>
    </cfRule>
  </conditionalFormatting>
  <conditionalFormatting sqref="D8:J8">
    <cfRule type="expression" dxfId="77" priority="130" stopIfTrue="1">
      <formula>IF($D$8="",TRUE)</formula>
    </cfRule>
  </conditionalFormatting>
  <conditionalFormatting sqref="D9:G9">
    <cfRule type="expression" dxfId="76" priority="131" stopIfTrue="1">
      <formula>IF($D$9="",TRUE)</formula>
    </cfRule>
  </conditionalFormatting>
  <conditionalFormatting sqref="D15:J15">
    <cfRule type="expression" dxfId="75" priority="132" stopIfTrue="1">
      <formula>IF($D$15="",TRUE)</formula>
    </cfRule>
  </conditionalFormatting>
  <conditionalFormatting sqref="D16:J16">
    <cfRule type="expression" dxfId="74" priority="133" stopIfTrue="1">
      <formula>IF($D$16="",TRUE)</formula>
    </cfRule>
  </conditionalFormatting>
  <conditionalFormatting sqref="D17:J17">
    <cfRule type="expression" dxfId="73" priority="1" stopIfTrue="1">
      <formula>IF($D$17="",TRUE)</formula>
    </cfRule>
  </conditionalFormatting>
  <conditionalFormatting sqref="D22:E22">
    <cfRule type="expression" dxfId="72" priority="138" stopIfTrue="1">
      <formula>IF($D$22="",TRUE)</formula>
    </cfRule>
  </conditionalFormatting>
  <conditionalFormatting sqref="D10:J10">
    <cfRule type="expression" dxfId="71" priority="35" stopIfTrue="1">
      <formula>IF($D$9=$Q$9,TRUE)</formula>
    </cfRule>
    <cfRule type="expression" dxfId="70" priority="145" stopIfTrue="1">
      <formula>IF(AND($D$10="",$D$9=$R$9),TRUE)</formula>
    </cfRule>
  </conditionalFormatting>
  <conditionalFormatting sqref="D34:E34 D40:E40 D52:E52 D58:E58 D64:E64 D70:E70">
    <cfRule type="expression" dxfId="69" priority="28" stopIfTrue="1">
      <formula>$P$28=""</formula>
    </cfRule>
  </conditionalFormatting>
  <conditionalFormatting sqref="D35:E35 D41:E41 D53:E53 D59:E59 D65:E65 D71:E71">
    <cfRule type="expression" dxfId="68" priority="143" stopIfTrue="1">
      <formula>$P$29=""</formula>
    </cfRule>
  </conditionalFormatting>
  <conditionalFormatting sqref="D32:E32">
    <cfRule type="expression" dxfId="67" priority="121" stopIfTrue="1">
      <formula>$P$26=""</formula>
    </cfRule>
  </conditionalFormatting>
  <conditionalFormatting sqref="D32:E32">
    <cfRule type="expression" dxfId="66" priority="34" stopIfTrue="1">
      <formula>IF(AND(OR($D$26="Yes",$D$26=""),$D$32=""),1,0)</formula>
    </cfRule>
  </conditionalFormatting>
  <conditionalFormatting sqref="D38 D50 D56 D62 D68">
    <cfRule type="expression" dxfId="65" priority="30" stopIfTrue="1">
      <formula>$P$32=""</formula>
    </cfRule>
  </conditionalFormatting>
  <conditionalFormatting sqref="D39:E39 D51 D57 D63 D69">
    <cfRule type="expression" dxfId="64" priority="29" stopIfTrue="1">
      <formula>$P$33=""</formula>
    </cfRule>
  </conditionalFormatting>
  <conditionalFormatting sqref="D40 D52 D58 D64 D70">
    <cfRule type="expression" dxfId="63" priority="19" stopIfTrue="1">
      <formula>$P$34=""</formula>
    </cfRule>
    <cfRule type="expression" dxfId="62" priority="141" stopIfTrue="1">
      <formula>IF(AND(OR($D$28="Yes",$D$28=""),D40=""),1,0)</formula>
    </cfRule>
  </conditionalFormatting>
  <conditionalFormatting sqref="D41 D53 D59 D65 D71">
    <cfRule type="expression" dxfId="61" priority="27" stopIfTrue="1">
      <formula>$P$35=""</formula>
    </cfRule>
  </conditionalFormatting>
  <conditionalFormatting sqref="D38:E38 D50:E50 D56:E56 D62:E62 D68:E68">
    <cfRule type="expression" dxfId="60" priority="32" stopIfTrue="1">
      <formula>$P$26=""</formula>
    </cfRule>
    <cfRule type="expression" dxfId="59" priority="33" stopIfTrue="1">
      <formula>IF(AND(OR($D$26="Yes",$D$26=""),D38=""),1,0)</formula>
    </cfRule>
  </conditionalFormatting>
  <conditionalFormatting sqref="G85:J85">
    <cfRule type="expression" dxfId="58" priority="26" stopIfTrue="1">
      <formula>IF(AND($D$85="Yes, using other format (describe)",$G$85=""),TRUE)</formula>
    </cfRule>
  </conditionalFormatting>
  <conditionalFormatting sqref="D39:E39 D51:E51 D57:E57 D63:E63 D69:E69">
    <cfRule type="expression" dxfId="57" priority="139" stopIfTrue="1">
      <formula>$P$39=""</formula>
    </cfRule>
    <cfRule type="expression" dxfId="56" priority="140" stopIfTrue="1">
      <formula>IF(AND(OR($D$27="Yes",$D$27=""),D39=""),1,0)</formula>
    </cfRule>
  </conditionalFormatting>
  <conditionalFormatting sqref="D33:E33">
    <cfRule type="expression" dxfId="55" priority="21" stopIfTrue="1">
      <formula>IF(AND(OR($D$27="Yes",$D$27=""),$D$33=""),1,0)</formula>
    </cfRule>
    <cfRule type="expression" dxfId="54" priority="22" stopIfTrue="1">
      <formula>$P$27=""</formula>
    </cfRule>
  </conditionalFormatting>
  <conditionalFormatting sqref="D34:E34">
    <cfRule type="expression" dxfId="53" priority="142" stopIfTrue="1">
      <formula>IF(AND(OR($D$28="Yes",$D$28=""),$D$34=""),1,0)</formula>
    </cfRule>
  </conditionalFormatting>
  <conditionalFormatting sqref="D41:E41 D53:E53 D59:E59 D65:E65 D71:E71">
    <cfRule type="expression" dxfId="52" priority="144" stopIfTrue="1">
      <formula>IF(AND(OR($D$29="Yes",$D$29=""),D41=""),1,0)</formula>
    </cfRule>
  </conditionalFormatting>
  <conditionalFormatting sqref="D35:E35">
    <cfRule type="expression" dxfId="51" priority="18" stopIfTrue="1">
      <formula>IF(AND(OR($D$29="Yes",$D$29=""),$D$35=""),1,0)</formula>
    </cfRule>
  </conditionalFormatting>
  <conditionalFormatting sqref="D20:J20">
    <cfRule type="expression" dxfId="50" priority="14" stopIfTrue="1">
      <formula>IF($D$20="",TRUE)</formula>
    </cfRule>
  </conditionalFormatting>
  <conditionalFormatting sqref="D46:E46">
    <cfRule type="expression" dxfId="49" priority="4" stopIfTrue="1">
      <formula>$P$28=""</formula>
    </cfRule>
  </conditionalFormatting>
  <conditionalFormatting sqref="D47:E47">
    <cfRule type="expression" dxfId="48" priority="12" stopIfTrue="1">
      <formula>$P$29=""</formula>
    </cfRule>
  </conditionalFormatting>
  <conditionalFormatting sqref="D44">
    <cfRule type="expression" dxfId="47" priority="6" stopIfTrue="1">
      <formula>$P$32=""</formula>
    </cfRule>
  </conditionalFormatting>
  <conditionalFormatting sqref="D45">
    <cfRule type="expression" dxfId="46" priority="5" stopIfTrue="1">
      <formula>$P$33=""</formula>
    </cfRule>
  </conditionalFormatting>
  <conditionalFormatting sqref="D46">
    <cfRule type="expression" dxfId="45" priority="2" stopIfTrue="1">
      <formula>$P$34=""</formula>
    </cfRule>
    <cfRule type="expression" dxfId="44" priority="11" stopIfTrue="1">
      <formula>IF(AND(OR($D$28="Yes",$D$28=""),D46=""),1,0)</formula>
    </cfRule>
  </conditionalFormatting>
  <conditionalFormatting sqref="D47">
    <cfRule type="expression" dxfId="43" priority="3" stopIfTrue="1">
      <formula>$P$35=""</formula>
    </cfRule>
  </conditionalFormatting>
  <conditionalFormatting sqref="D44:E44">
    <cfRule type="expression" dxfId="42" priority="7" stopIfTrue="1">
      <formula>$P$26=""</formula>
    </cfRule>
    <cfRule type="expression" dxfId="41" priority="8" stopIfTrue="1">
      <formula>IF(AND(OR($D$26="Yes",$D$26=""),D44=""),1,0)</formula>
    </cfRule>
  </conditionalFormatting>
  <conditionalFormatting sqref="D45:E45">
    <cfRule type="expression" dxfId="40" priority="9" stopIfTrue="1">
      <formula>$P$39=""</formula>
    </cfRule>
    <cfRule type="expression" dxfId="39" priority="10" stopIfTrue="1">
      <formula>IF(AND(OR($D$27="Yes",$D$27=""),D45=""),1,0)</formula>
    </cfRule>
  </conditionalFormatting>
  <conditionalFormatting sqref="D47:E47">
    <cfRule type="expression" dxfId="38" priority="13" stopIfTrue="1">
      <formula>IF(AND(OR($D$29="Yes",$D$29=""),D47=""),1,0)</formula>
    </cfRule>
  </conditionalFormatting>
  <conditionalFormatting sqref="D18:J18">
    <cfRule type="expression" dxfId="37" priority="135" stopIfTrue="1">
      <formula>IF($D$18="",TRUE)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E4759BEA-0619-47CB-B722-B10C6DE1D963}"/>
    <hyperlink ref="D20" r:id="rId4" xr:uid="{E700B52E-21E3-4BA0-B437-BC50F3546A74}"/>
  </hyperlinks>
  <printOptions horizontalCentered="1"/>
  <pageMargins left="0" right="0" top="0" bottom="0" header="0.31496062992125984" footer="0.31496062992125984"/>
  <pageSetup paperSize="9" scale="46"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Normal="100" zoomScalePageLayoutView="55" workbookViewId="0">
      <selection activeCell="A5" sqref="A5"/>
    </sheetView>
  </sheetViews>
  <sheetFormatPr baseColWidth="10" defaultColWidth="8.90625" defaultRowHeight="12.6"/>
  <cols>
    <col min="1" max="1" width="13.6328125" style="264" customWidth="1"/>
    <col min="2" max="2" width="13.36328125" style="269" customWidth="1"/>
    <col min="3" max="3" width="40.6328125" style="269" customWidth="1"/>
    <col min="4" max="4" width="30.6328125" style="269" customWidth="1"/>
    <col min="5" max="5" width="20.90625" style="269" customWidth="1"/>
    <col min="6" max="7" width="13.90625" style="269" customWidth="1"/>
    <col min="8" max="8" width="25.08984375" style="269" customWidth="1"/>
    <col min="9" max="9" width="24.08984375" style="269" customWidth="1"/>
    <col min="10" max="10" width="18.36328125" style="269" customWidth="1"/>
    <col min="11" max="11" width="27.36328125" style="269" customWidth="1"/>
    <col min="12" max="12" width="20.6328125" style="269" customWidth="1"/>
    <col min="13" max="13" width="35.08984375" style="269" customWidth="1"/>
    <col min="14" max="14" width="42.08984375" style="269" customWidth="1"/>
    <col min="15" max="15" width="32.08984375" style="269" customWidth="1"/>
    <col min="16" max="16" width="22.90625" style="269" customWidth="1"/>
    <col min="17" max="17" width="43.6328125" style="269" customWidth="1"/>
    <col min="18" max="18" width="35.90625" style="269" hidden="1" customWidth="1"/>
    <col min="19" max="20" width="17.90625" style="269" hidden="1" customWidth="1"/>
    <col min="21" max="21" width="8.90625" style="268" hidden="1" customWidth="1"/>
    <col min="22" max="22" width="6.08984375" style="268" hidden="1" customWidth="1"/>
    <col min="23" max="23" width="8.6328125" style="268" hidden="1" customWidth="1"/>
    <col min="24" max="24" width="8.90625" style="268" hidden="1" customWidth="1"/>
    <col min="25" max="26" width="4.36328125" style="268" hidden="1" customWidth="1"/>
    <col min="27" max="27" width="4.36328125" style="269" hidden="1" customWidth="1"/>
    <col min="28" max="28" width="7.90625" style="269" hidden="1" customWidth="1"/>
    <col min="29" max="33" width="4.36328125" style="269" hidden="1" customWidth="1"/>
    <col min="34" max="34" width="14.6328125" style="269" hidden="1" customWidth="1"/>
    <col min="35" max="39" width="8.90625" style="269" customWidth="1"/>
    <col min="40" max="16384" width="8.90625" style="269"/>
  </cols>
  <sheetData>
    <row r="1" spans="1:34" s="256" customFormat="1" ht="16.2"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8.2">
      <c r="A2" s="194"/>
      <c r="B2" s="213" t="str">
        <f ca="1">OFFSET(L!$C$1,MATCH("Smelter List"&amp;ADDRESS(ROW(),COLUMN(),4),L!$A:$A,0)-1,SL,,)</f>
        <v>TO BEGIN:</v>
      </c>
      <c r="C2" s="196"/>
      <c r="D2" s="196"/>
      <c r="E2" s="196"/>
      <c r="F2" s="222"/>
      <c r="G2" s="222"/>
      <c r="H2" s="222"/>
      <c r="I2" s="223"/>
      <c r="J2" s="451" t="str">
        <f ca="1">OFFSET(L!$C$1,MATCH("Smelter List"&amp;ADDRESS(ROW(),COLUMN(),4),L!$A:$A,0)-1,SL,,)</f>
        <v>Link to "RMAP Conformant Smelter List"</v>
      </c>
      <c r="K2" s="452"/>
      <c r="L2" s="452"/>
      <c r="M2" s="452"/>
      <c r="N2" s="452"/>
      <c r="O2" s="452"/>
      <c r="P2" s="224"/>
      <c r="Q2" s="225"/>
      <c r="R2" s="226"/>
      <c r="S2" s="226"/>
      <c r="T2" s="226"/>
      <c r="U2" s="254"/>
      <c r="V2" s="254"/>
      <c r="W2" s="255"/>
      <c r="X2" s="254"/>
      <c r="Y2" s="254"/>
      <c r="Z2" s="254"/>
      <c r="AH2" s="167" t="s">
        <v>488</v>
      </c>
    </row>
    <row r="3" spans="1:34" s="256" customFormat="1" ht="173.4" customHeight="1">
      <c r="A3" s="195"/>
      <c r="B3" s="453"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53"/>
      <c r="D3" s="453"/>
      <c r="E3" s="453"/>
      <c r="F3" s="257"/>
      <c r="G3" s="454" t="str">
        <f ca="1">OFFSET(L!$C$1,MATCH("General"&amp;"Cpy",L!$A:$A,0)-1,SL,,)</f>
        <v>© 2022 Responsible Minerals Initiative. All rights reserved.</v>
      </c>
      <c r="H3" s="454"/>
      <c r="I3" s="455"/>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60">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12499</v>
      </c>
      <c r="S4" s="249" t="s">
        <v>12482</v>
      </c>
      <c r="T4" s="249" t="s">
        <v>12483</v>
      </c>
      <c r="U4" s="229"/>
      <c r="V4" s="183"/>
      <c r="W4" s="183" t="s">
        <v>1324</v>
      </c>
      <c r="X4" s="183" t="s">
        <v>942</v>
      </c>
      <c r="Y4" s="183"/>
      <c r="Z4" s="183"/>
      <c r="AH4" s="167" t="s">
        <v>490</v>
      </c>
    </row>
    <row r="5" spans="1:34" s="264" customFormat="1" ht="19.95" customHeight="1">
      <c r="A5" s="316" t="s">
        <v>774</v>
      </c>
      <c r="B5" s="208" t="s">
        <v>1131</v>
      </c>
      <c r="C5" s="212" t="s">
        <v>821</v>
      </c>
      <c r="D5" s="270"/>
      <c r="E5" s="208" t="s">
        <v>1115</v>
      </c>
      <c r="F5" s="208" t="s">
        <v>774</v>
      </c>
      <c r="G5" s="208" t="s">
        <v>13320</v>
      </c>
      <c r="H5" s="209"/>
      <c r="I5" s="210"/>
      <c r="J5" s="210"/>
      <c r="K5" s="260"/>
      <c r="L5" s="260"/>
      <c r="M5" s="260"/>
      <c r="N5" s="260"/>
      <c r="O5" s="260" t="s">
        <v>15666</v>
      </c>
      <c r="P5" s="211"/>
      <c r="Q5" s="261"/>
      <c r="R5" s="208" t="str">
        <f ca="1">IF(ISERROR($V5),"",OFFSET('Smelter Look-up'!$C$4,$V5-4,0)&amp;"")</f>
        <v>Malaysia Smelting Corporation (MSC)</v>
      </c>
      <c r="S5" s="215" t="str">
        <f t="shared" ref="S5" ca="1" si="0">IF(B5="","",IF(ISERROR(MATCH($E5,CL,0)),"Unknown",INDIRECT("'C'!$A$"&amp;MATCH($E5,CL,0)+1)))</f>
        <v>MY</v>
      </c>
      <c r="T5" s="215" t="str">
        <f ca="1">IF(B5="","",IF(ISERROR(MATCH($J5,SorP!$B$1:$B$6230,0)),"",INDIRECT("'SorP'!$A$"&amp;MATCH($J5,SorP!$B$1:$B$6230,0))))</f>
        <v/>
      </c>
      <c r="U5" s="231"/>
      <c r="V5" s="262">
        <f>IF(C5="",NA(),IF(OR(C5="Smelter not listed",C5="Smelter not yet identified"),MATCH($B5&amp;$D5,'Smelter Look-up'!$J:$J,0),MATCH($B5&amp;$C5,'Smelter Look-up'!$J:$J,0)))</f>
        <v>457</v>
      </c>
      <c r="W5" s="263"/>
      <c r="X5" s="263">
        <f t="shared" ref="X5" si="1">IF(AND(C5="Smelter not listed",OR(LEN(D5)=0,LEN(E5)=0)),1,0)</f>
        <v>0</v>
      </c>
      <c r="Y5" s="263"/>
      <c r="Z5" s="263"/>
      <c r="AB5" s="265" t="str">
        <f t="shared" ref="AB5" si="2">B5&amp;C5</f>
        <v>TinMalaysia Smelting Corporation (MSC)</v>
      </c>
    </row>
    <row r="6" spans="1:34" s="264" customFormat="1" ht="19.95" customHeight="1">
      <c r="A6" s="316" t="s">
        <v>776</v>
      </c>
      <c r="B6" s="208" t="s">
        <v>1131</v>
      </c>
      <c r="C6" s="212" t="s">
        <v>1034</v>
      </c>
      <c r="D6" s="270"/>
      <c r="E6" s="208" t="s">
        <v>880</v>
      </c>
      <c r="F6" s="208" t="s">
        <v>776</v>
      </c>
      <c r="G6" s="208" t="s">
        <v>13320</v>
      </c>
      <c r="H6" s="209"/>
      <c r="I6" s="210"/>
      <c r="J6" s="210"/>
      <c r="K6" s="260"/>
      <c r="L6" s="260"/>
      <c r="M6" s="260"/>
      <c r="N6" s="260"/>
      <c r="O6" s="260" t="s">
        <v>15667</v>
      </c>
      <c r="P6" s="211"/>
      <c r="Q6" s="261"/>
      <c r="R6" s="208" t="str">
        <f ca="1">IF(ISERROR($V6),"",OFFSET('Smelter Look-up'!$C$4,$V6-4,0)&amp;"")</f>
        <v>Minsur</v>
      </c>
      <c r="S6" s="215" t="str">
        <f t="shared" ref="S6:S37" ca="1" si="3">IF(B6="","",IF(ISERROR(MATCH($E6,CL,0)),"Unknown",INDIRECT("'C'!$A$"&amp;MATCH($E6,CL,0)+1)))</f>
        <v>PE</v>
      </c>
      <c r="T6" s="215" t="str">
        <f ca="1">IF(B6="","",IF(ISERROR(MATCH($J6,SorP!$B$1:$B$6230,0)),"",INDIRECT("'SorP'!$A$"&amp;MATCH($J6,SorP!$B$1:$B$6230,0))))</f>
        <v/>
      </c>
      <c r="U6" s="231"/>
      <c r="V6" s="262">
        <f>IF(C6="",NA(),IF(OR(C6="Smelter not listed",C6="Smelter not yet identified"),MATCH($B6&amp;$D6,'Smelter Look-up'!$J:$J,0),MATCH($B6&amp;$C6,'Smelter Look-up'!$J:$J,0)))</f>
        <v>468</v>
      </c>
      <c r="W6" s="263"/>
      <c r="X6" s="263">
        <f t="shared" ref="X6:X37" si="4">IF(AND(C6="Smelter not listed",OR(LEN(D6)=0,LEN(E6)=0)),1,0)</f>
        <v>0</v>
      </c>
      <c r="Y6" s="263"/>
      <c r="Z6" s="263"/>
      <c r="AB6" s="265" t="str">
        <f t="shared" ref="AB6:AB37" si="5">B6&amp;C6</f>
        <v>TinMinsur</v>
      </c>
    </row>
    <row r="7" spans="1:34" s="264" customFormat="1" ht="19.95" customHeight="1">
      <c r="A7" s="316" t="s">
        <v>781</v>
      </c>
      <c r="B7" s="208" t="s">
        <v>1131</v>
      </c>
      <c r="C7" s="212" t="s">
        <v>844</v>
      </c>
      <c r="D7" s="270"/>
      <c r="E7" s="208" t="s">
        <v>1105</v>
      </c>
      <c r="F7" s="208" t="s">
        <v>781</v>
      </c>
      <c r="G7" s="208" t="s">
        <v>13320</v>
      </c>
      <c r="H7" s="209"/>
      <c r="I7" s="210"/>
      <c r="J7" s="210"/>
      <c r="K7" s="260"/>
      <c r="L7" s="260"/>
      <c r="M7" s="260"/>
      <c r="N7" s="260"/>
      <c r="O7" s="260" t="s">
        <v>15668</v>
      </c>
      <c r="P7" s="211"/>
      <c r="Q7" s="261"/>
      <c r="R7" s="208" t="str">
        <f ca="1">IF(ISERROR($V7),"",OFFSET('Smelter Look-up'!$C$4,$V7-4,0)&amp;"")</f>
        <v>PT Artha Cipta Langgeng</v>
      </c>
      <c r="S7" s="215" t="str">
        <f t="shared" ca="1" si="3"/>
        <v>ID</v>
      </c>
      <c r="T7" s="215" t="str">
        <f ca="1">IF(B7="","",IF(ISERROR(MATCH($J7,SorP!$B$1:$B$6230,0)),"",INDIRECT("'SorP'!$A$"&amp;MATCH($J7,SorP!$B$1:$B$6230,0))))</f>
        <v/>
      </c>
      <c r="U7" s="231"/>
      <c r="V7" s="262">
        <f>IF(C7="",NA(),IF(OR(C7="Smelter not listed",C7="Smelter not yet identified"),MATCH($B7&amp;$D7,'Smelter Look-up'!$J:$J,0),MATCH($B7&amp;$C7,'Smelter Look-up'!$J:$J,0)))</f>
        <v>484</v>
      </c>
      <c r="W7" s="263"/>
      <c r="X7" s="263">
        <f t="shared" si="4"/>
        <v>0</v>
      </c>
      <c r="Y7" s="263"/>
      <c r="Z7" s="263"/>
      <c r="AB7" s="265" t="str">
        <f t="shared" si="5"/>
        <v>TinPT Artha Cipta Langgeng</v>
      </c>
    </row>
    <row r="8" spans="1:34" s="264" customFormat="1" ht="19.95" customHeight="1">
      <c r="A8" s="316" t="s">
        <v>14119</v>
      </c>
      <c r="B8" s="208" t="s">
        <v>1131</v>
      </c>
      <c r="C8" s="212" t="s">
        <v>13016</v>
      </c>
      <c r="D8" s="270"/>
      <c r="E8" s="208" t="s">
        <v>1105</v>
      </c>
      <c r="F8" s="208" t="s">
        <v>14119</v>
      </c>
      <c r="G8" s="208" t="s">
        <v>13320</v>
      </c>
      <c r="H8" s="209"/>
      <c r="I8" s="210"/>
      <c r="J8" s="210"/>
      <c r="K8" s="260"/>
      <c r="L8" s="260"/>
      <c r="M8" s="260"/>
      <c r="N8" s="260"/>
      <c r="O8" s="260" t="s">
        <v>15669</v>
      </c>
      <c r="P8" s="211"/>
      <c r="Q8" s="261"/>
      <c r="R8" s="208" t="str">
        <f ca="1">IF(ISERROR($V8),"",OFFSET('Smelter Look-up'!$C$4,$V8-4,0)&amp;"")</f>
        <v>PT Bangka Serumpun</v>
      </c>
      <c r="S8" s="215" t="str">
        <f t="shared" ca="1" si="3"/>
        <v>ID</v>
      </c>
      <c r="T8" s="215" t="str">
        <f ca="1">IF(B8="","",IF(ISERROR(MATCH($J8,SorP!$B$1:$B$6230,0)),"",INDIRECT("'SorP'!$A$"&amp;MATCH($J8,SorP!$B$1:$B$6230,0))))</f>
        <v/>
      </c>
      <c r="U8" s="231"/>
      <c r="V8" s="262">
        <f>IF(C8="",NA(),IF(OR(C8="Smelter not listed",C8="Smelter not yet identified"),MATCH($B8&amp;$D8,'Smelter Look-up'!$J:$J,0),MATCH($B8&amp;$C8,'Smelter Look-up'!$J:$J,0)))</f>
        <v>488</v>
      </c>
      <c r="W8" s="263"/>
      <c r="X8" s="263">
        <f t="shared" si="4"/>
        <v>0</v>
      </c>
      <c r="Y8" s="263"/>
      <c r="Z8" s="263"/>
      <c r="AB8" s="265" t="str">
        <f t="shared" si="5"/>
        <v>TinPT Bangka Serumpun</v>
      </c>
    </row>
    <row r="9" spans="1:34" s="264" customFormat="1" ht="19.95" customHeight="1">
      <c r="A9" s="316" t="s">
        <v>15213</v>
      </c>
      <c r="B9" s="208" t="s">
        <v>1131</v>
      </c>
      <c r="C9" s="212" t="s">
        <v>15212</v>
      </c>
      <c r="D9" s="270"/>
      <c r="E9" s="208" t="s">
        <v>1105</v>
      </c>
      <c r="F9" s="208" t="s">
        <v>15213</v>
      </c>
      <c r="G9" s="208" t="s">
        <v>13320</v>
      </c>
      <c r="H9" s="209"/>
      <c r="I9" s="210"/>
      <c r="J9" s="210"/>
      <c r="K9" s="260"/>
      <c r="L9" s="260"/>
      <c r="M9" s="260"/>
      <c r="N9" s="260"/>
      <c r="O9" s="260" t="s">
        <v>15668</v>
      </c>
      <c r="P9" s="211"/>
      <c r="Q9" s="261"/>
      <c r="R9" s="208" t="str">
        <f ca="1">IF(ISERROR($V9),"",OFFSET('Smelter Look-up'!$C$4,$V9-4,0)&amp;"")</f>
        <v>PT Menara Cipta Mulia</v>
      </c>
      <c r="S9" s="215" t="str">
        <f t="shared" ca="1" si="3"/>
        <v>ID</v>
      </c>
      <c r="T9" s="215" t="str">
        <f ca="1">IF(B9="","",IF(ISERROR(MATCH($J9,SorP!$B$1:$B$6230,0)),"",INDIRECT("'SorP'!$A$"&amp;MATCH($J9,SorP!$B$1:$B$6230,0))))</f>
        <v/>
      </c>
      <c r="U9" s="231"/>
      <c r="V9" s="262">
        <f>IF(C9="",NA(),IF(OR(C9="Smelter not listed",C9="Smelter not yet identified"),MATCH($B9&amp;$D9,'Smelter Look-up'!$J:$J,0),MATCH($B9&amp;$C9,'Smelter Look-up'!$J:$J,0)))</f>
        <v>495</v>
      </c>
      <c r="W9" s="263"/>
      <c r="X9" s="263">
        <f t="shared" si="4"/>
        <v>0</v>
      </c>
      <c r="Y9" s="263"/>
      <c r="Z9" s="263"/>
      <c r="AB9" s="265" t="str">
        <f t="shared" si="5"/>
        <v>TinPT Menara Cipta Mulia</v>
      </c>
    </row>
    <row r="10" spans="1:34" s="264" customFormat="1" ht="19.95" customHeight="1">
      <c r="A10" s="316" t="s">
        <v>783</v>
      </c>
      <c r="B10" s="208" t="s">
        <v>1131</v>
      </c>
      <c r="C10" s="212" t="s">
        <v>2171</v>
      </c>
      <c r="D10" s="270"/>
      <c r="E10" s="208" t="s">
        <v>1105</v>
      </c>
      <c r="F10" s="208" t="s">
        <v>783</v>
      </c>
      <c r="G10" s="208" t="s">
        <v>13320</v>
      </c>
      <c r="H10" s="209"/>
      <c r="I10" s="210"/>
      <c r="J10" s="210"/>
      <c r="K10" s="260"/>
      <c r="L10" s="260"/>
      <c r="M10" s="260"/>
      <c r="N10" s="260"/>
      <c r="O10" s="260" t="s">
        <v>15670</v>
      </c>
      <c r="P10" s="211"/>
      <c r="Q10" s="261"/>
      <c r="R10" s="208" t="str">
        <f ca="1">IF(ISERROR($V10),"",OFFSET('Smelter Look-up'!$C$4,$V10-4,0)&amp;"")</f>
        <v>PT Refined Bangka Tin</v>
      </c>
      <c r="S10" s="215" t="str">
        <f t="shared" ca="1" si="3"/>
        <v>ID</v>
      </c>
      <c r="T10" s="215" t="str">
        <f ca="1">IF(B10="","",IF(ISERROR(MATCH($J10,SorP!$B$1:$B$6230,0)),"",INDIRECT("'SorP'!$A$"&amp;MATCH($J10,SorP!$B$1:$B$6230,0))))</f>
        <v/>
      </c>
      <c r="U10" s="231"/>
      <c r="V10" s="262">
        <f>IF(C10="",NA(),IF(OR(C10="Smelter not listed",C10="Smelter not yet identified"),MATCH($B10&amp;$D10,'Smelter Look-up'!$J:$J,0),MATCH($B10&amp;$C10,'Smelter Look-up'!$J:$J,0)))</f>
        <v>502</v>
      </c>
      <c r="W10" s="263"/>
      <c r="X10" s="263">
        <f t="shared" si="4"/>
        <v>0</v>
      </c>
      <c r="Y10" s="263"/>
      <c r="Z10" s="263"/>
      <c r="AB10" s="265" t="str">
        <f t="shared" si="5"/>
        <v>TinPT Refined Bangka Tin</v>
      </c>
    </row>
    <row r="11" spans="1:34" s="264" customFormat="1" ht="19.95" customHeight="1">
      <c r="A11" s="316" t="s">
        <v>804</v>
      </c>
      <c r="B11" s="208" t="s">
        <v>1131</v>
      </c>
      <c r="C11" s="212" t="s">
        <v>13882</v>
      </c>
      <c r="D11" s="270"/>
      <c r="E11" s="208" t="s">
        <v>1105</v>
      </c>
      <c r="F11" s="208" t="s">
        <v>804</v>
      </c>
      <c r="G11" s="208" t="s">
        <v>13320</v>
      </c>
      <c r="H11" s="209"/>
      <c r="I11" s="210"/>
      <c r="J11" s="210"/>
      <c r="K11" s="260"/>
      <c r="L11" s="260"/>
      <c r="M11" s="260"/>
      <c r="N11" s="260"/>
      <c r="O11" s="260" t="s">
        <v>15668</v>
      </c>
      <c r="P11" s="211"/>
      <c r="Q11" s="261"/>
      <c r="R11" s="208" t="str">
        <f ca="1">IF(ISERROR($V11),"",OFFSET('Smelter Look-up'!$C$4,$V11-4,0)&amp;"")</f>
        <v>PT Timah Tbk Kundur</v>
      </c>
      <c r="S11" s="215" t="str">
        <f t="shared" ca="1" si="3"/>
        <v>ID</v>
      </c>
      <c r="T11" s="215" t="str">
        <f ca="1">IF(B11="","",IF(ISERROR(MATCH($J11,SorP!$B$1:$B$6230,0)),"",INDIRECT("'SorP'!$A$"&amp;MATCH($J11,SorP!$B$1:$B$6230,0))))</f>
        <v/>
      </c>
      <c r="U11" s="231"/>
      <c r="V11" s="262">
        <f>IF(C11="",NA(),IF(OR(C11="Smelter not listed",C11="Smelter not yet identified"),MATCH($B11&amp;$D11,'Smelter Look-up'!$J:$J,0),MATCH($B11&amp;$C11,'Smelter Look-up'!$J:$J,0)))</f>
        <v>508</v>
      </c>
      <c r="W11" s="263"/>
      <c r="X11" s="263">
        <f t="shared" si="4"/>
        <v>0</v>
      </c>
      <c r="Y11" s="263"/>
      <c r="Z11" s="263"/>
      <c r="AB11" s="265" t="str">
        <f t="shared" si="5"/>
        <v>TinPT Timah Tbk Kundur</v>
      </c>
    </row>
    <row r="12" spans="1:34" s="264" customFormat="1" ht="19.95" customHeight="1">
      <c r="A12" s="316" t="s">
        <v>784</v>
      </c>
      <c r="B12" s="208" t="s">
        <v>1131</v>
      </c>
      <c r="C12" s="212" t="s">
        <v>13881</v>
      </c>
      <c r="D12" s="270"/>
      <c r="E12" s="208" t="s">
        <v>1105</v>
      </c>
      <c r="F12" s="208" t="s">
        <v>784</v>
      </c>
      <c r="G12" s="208" t="s">
        <v>13320</v>
      </c>
      <c r="H12" s="209"/>
      <c r="I12" s="210"/>
      <c r="J12" s="210"/>
      <c r="K12" s="260"/>
      <c r="L12" s="260"/>
      <c r="M12" s="260"/>
      <c r="N12" s="260"/>
      <c r="O12" s="260" t="s">
        <v>15668</v>
      </c>
      <c r="P12" s="211"/>
      <c r="Q12" s="261"/>
      <c r="R12" s="208" t="str">
        <f ca="1">IF(ISERROR($V12),"",OFFSET('Smelter Look-up'!$C$4,$V12-4,0)&amp;"")</f>
        <v>PT Timah Tbk Mentok</v>
      </c>
      <c r="S12" s="215" t="str">
        <f t="shared" ca="1" si="3"/>
        <v>ID</v>
      </c>
      <c r="T12" s="215" t="str">
        <f ca="1">IF(B12="","",IF(ISERROR(MATCH($J12,SorP!$B$1:$B$6230,0)),"",INDIRECT("'SorP'!$A$"&amp;MATCH($J12,SorP!$B$1:$B$6230,0))))</f>
        <v/>
      </c>
      <c r="U12" s="231"/>
      <c r="V12" s="262">
        <f>IF(C12="",NA(),IF(OR(C12="Smelter not listed",C12="Smelter not yet identified"),MATCH($B12&amp;$D12,'Smelter Look-up'!$J:$J,0),MATCH($B12&amp;$C12,'Smelter Look-up'!$J:$J,0)))</f>
        <v>509</v>
      </c>
      <c r="W12" s="263"/>
      <c r="X12" s="263">
        <f t="shared" si="4"/>
        <v>0</v>
      </c>
      <c r="Y12" s="263"/>
      <c r="Z12" s="263"/>
      <c r="AB12" s="265" t="str">
        <f t="shared" si="5"/>
        <v>TinPT Timah Tbk Mentok</v>
      </c>
    </row>
    <row r="13" spans="1:34" s="264" customFormat="1" ht="19.95" customHeight="1">
      <c r="A13" s="316" t="s">
        <v>786</v>
      </c>
      <c r="B13" s="208" t="s">
        <v>1131</v>
      </c>
      <c r="C13" s="212" t="s">
        <v>785</v>
      </c>
      <c r="D13" s="270"/>
      <c r="E13" s="208" t="s">
        <v>2455</v>
      </c>
      <c r="F13" s="208" t="s">
        <v>786</v>
      </c>
      <c r="G13" s="208" t="s">
        <v>13320</v>
      </c>
      <c r="H13" s="209"/>
      <c r="I13" s="210"/>
      <c r="J13" s="210"/>
      <c r="K13" s="260"/>
      <c r="L13" s="260"/>
      <c r="M13" s="260"/>
      <c r="N13" s="260"/>
      <c r="O13" s="260" t="s">
        <v>15671</v>
      </c>
      <c r="P13" s="211"/>
      <c r="Q13" s="261"/>
      <c r="R13" s="208" t="str">
        <f ca="1">IF(ISERROR($V13),"",OFFSET('Smelter Look-up'!$C$4,$V13-4,0)&amp;"")</f>
        <v>Rui Da Hung</v>
      </c>
      <c r="S13" s="215" t="str">
        <f t="shared" ca="1" si="3"/>
        <v>TW</v>
      </c>
      <c r="T13" s="215" t="str">
        <f ca="1">IF(B13="","",IF(ISERROR(MATCH($J13,SorP!$B$1:$B$6230,0)),"",INDIRECT("'SorP'!$A$"&amp;MATCH($J13,SorP!$B$1:$B$6230,0))))</f>
        <v/>
      </c>
      <c r="U13" s="231"/>
      <c r="V13" s="262">
        <f>IF(C13="",NA(),IF(OR(C13="Smelter not listed",C13="Smelter not yet identified"),MATCH($B13&amp;$D13,'Smelter Look-up'!$J:$J,0),MATCH($B13&amp;$C13,'Smelter Look-up'!$J:$J,0)))</f>
        <v>516</v>
      </c>
      <c r="W13" s="263"/>
      <c r="X13" s="263">
        <f t="shared" si="4"/>
        <v>0</v>
      </c>
      <c r="Y13" s="263"/>
      <c r="Z13" s="263"/>
      <c r="AB13" s="265" t="str">
        <f t="shared" si="5"/>
        <v>TinRui Da Hung</v>
      </c>
    </row>
    <row r="14" spans="1:34" s="264" customFormat="1" ht="19.95" customHeight="1">
      <c r="A14" s="316"/>
      <c r="B14" s="208"/>
      <c r="C14" s="212"/>
      <c r="D14" s="270"/>
      <c r="E14" s="208"/>
      <c r="F14" s="208"/>
      <c r="G14" s="208"/>
      <c r="H14" s="209"/>
      <c r="I14" s="210"/>
      <c r="J14" s="210"/>
      <c r="K14" s="260"/>
      <c r="L14" s="260"/>
      <c r="M14" s="260"/>
      <c r="N14" s="260"/>
      <c r="O14" s="260"/>
      <c r="P14" s="211"/>
      <c r="Q14" s="261"/>
      <c r="R14" s="208" t="str">
        <f ca="1">IF(ISERROR($V14),"",OFFSET('Smelter Look-up'!$C$4,$V14-4,0)&amp;"")</f>
        <v/>
      </c>
      <c r="S14" s="215" t="str">
        <f t="shared" ca="1" si="3"/>
        <v/>
      </c>
      <c r="T14" s="215" t="str">
        <f ca="1">IF(B14="","",IF(ISERROR(MATCH($J14,SorP!$B$1:$B$6230,0)),"",INDIRECT("'SorP'!$A$"&amp;MATCH($J14,SorP!$B$1:$B$6230,0))))</f>
        <v/>
      </c>
      <c r="U14" s="231"/>
      <c r="V14" s="262" t="e">
        <f>IF(C14="",NA(),IF(OR(C14="Smelter not listed",C14="Smelter not yet identified"),MATCH($B14&amp;$D14,'Smelter Look-up'!$J:$J,0),MATCH($B14&amp;$C14,'Smelter Look-up'!$J:$J,0)))</f>
        <v>#N/A</v>
      </c>
      <c r="W14" s="263"/>
      <c r="X14" s="263">
        <f t="shared" si="4"/>
        <v>0</v>
      </c>
      <c r="Y14" s="263"/>
      <c r="Z14" s="263"/>
      <c r="AB14" s="265" t="str">
        <f t="shared" si="5"/>
        <v/>
      </c>
    </row>
    <row r="15" spans="1:34" s="264" customFormat="1" ht="19.95" customHeight="1">
      <c r="A15" s="316"/>
      <c r="B15" s="208"/>
      <c r="C15" s="212"/>
      <c r="D15" s="270"/>
      <c r="E15" s="208"/>
      <c r="F15" s="208"/>
      <c r="G15" s="208"/>
      <c r="H15" s="209"/>
      <c r="I15" s="210"/>
      <c r="J15" s="210"/>
      <c r="K15" s="260"/>
      <c r="L15" s="260"/>
      <c r="M15" s="260"/>
      <c r="N15" s="260"/>
      <c r="O15" s="260"/>
      <c r="P15" s="211"/>
      <c r="Q15" s="261"/>
      <c r="R15" s="208" t="str">
        <f ca="1">IF(ISERROR($V15),"",OFFSET('Smelter Look-up'!$C$4,$V15-4,0)&amp;"")</f>
        <v/>
      </c>
      <c r="S15" s="215" t="str">
        <f t="shared" ca="1" si="3"/>
        <v/>
      </c>
      <c r="T15" s="215" t="str">
        <f ca="1">IF(B15="","",IF(ISERROR(MATCH($J15,SorP!$B$1:$B$6230,0)),"",INDIRECT("'SorP'!$A$"&amp;MATCH($J15,SorP!$B$1:$B$6230,0))))</f>
        <v/>
      </c>
      <c r="U15" s="231"/>
      <c r="V15" s="262" t="e">
        <f>IF(C15="",NA(),IF(OR(C15="Smelter not listed",C15="Smelter not yet identified"),MATCH($B15&amp;$D15,'Smelter Look-up'!$J:$J,0),MATCH($B15&amp;$C15,'Smelter Look-up'!$J:$J,0)))</f>
        <v>#N/A</v>
      </c>
      <c r="W15" s="263"/>
      <c r="X15" s="263">
        <f t="shared" si="4"/>
        <v>0</v>
      </c>
      <c r="Y15" s="263"/>
      <c r="Z15" s="263"/>
      <c r="AB15" s="265" t="str">
        <f t="shared" si="5"/>
        <v/>
      </c>
    </row>
    <row r="16" spans="1:34" s="264" customFormat="1" ht="19.95" customHeight="1">
      <c r="A16" s="316"/>
      <c r="B16" s="208"/>
      <c r="C16" s="212"/>
      <c r="D16" s="270"/>
      <c r="E16" s="208"/>
      <c r="F16" s="208"/>
      <c r="G16" s="208"/>
      <c r="H16" s="209"/>
      <c r="I16" s="210"/>
      <c r="J16" s="210"/>
      <c r="K16" s="260"/>
      <c r="L16" s="260"/>
      <c r="M16" s="260"/>
      <c r="N16" s="260"/>
      <c r="O16" s="260"/>
      <c r="P16" s="211"/>
      <c r="Q16" s="261"/>
      <c r="R16" s="208" t="str">
        <f ca="1">IF(ISERROR($V16),"",OFFSET('Smelter Look-up'!$C$4,$V16-4,0)&amp;"")</f>
        <v/>
      </c>
      <c r="S16" s="215" t="str">
        <f t="shared" ca="1" si="3"/>
        <v/>
      </c>
      <c r="T16" s="215" t="str">
        <f ca="1">IF(B16="","",IF(ISERROR(MATCH($J16,SorP!$B$1:$B$6230,0)),"",INDIRECT("'SorP'!$A$"&amp;MATCH($J16,SorP!$B$1:$B$6230,0))))</f>
        <v/>
      </c>
      <c r="U16" s="231"/>
      <c r="V16" s="262" t="e">
        <f>IF(C16="",NA(),IF(OR(C16="Smelter not listed",C16="Smelter not yet identified"),MATCH($B16&amp;$D16,'Smelter Look-up'!$J:$J,0),MATCH($B16&amp;$C16,'Smelter Look-up'!$J:$J,0)))</f>
        <v>#N/A</v>
      </c>
      <c r="W16" s="263"/>
      <c r="X16" s="263">
        <f t="shared" si="4"/>
        <v>0</v>
      </c>
      <c r="Y16" s="263"/>
      <c r="Z16" s="263"/>
      <c r="AB16" s="265" t="str">
        <f t="shared" si="5"/>
        <v/>
      </c>
    </row>
    <row r="17" spans="1:28" s="264" customFormat="1" ht="19.95" customHeight="1">
      <c r="A17" s="316"/>
      <c r="B17" s="208"/>
      <c r="C17" s="212"/>
      <c r="D17" s="270"/>
      <c r="E17" s="208"/>
      <c r="F17" s="208"/>
      <c r="G17" s="208"/>
      <c r="H17" s="209"/>
      <c r="I17" s="210"/>
      <c r="J17" s="210"/>
      <c r="K17" s="260"/>
      <c r="L17" s="260"/>
      <c r="M17" s="260"/>
      <c r="N17" s="260"/>
      <c r="O17" s="260"/>
      <c r="P17" s="211"/>
      <c r="Q17" s="261"/>
      <c r="R17" s="208" t="str">
        <f ca="1">IF(ISERROR($V17),"",OFFSET('Smelter Look-up'!$C$4,$V17-4,0)&amp;"")</f>
        <v/>
      </c>
      <c r="S17" s="215" t="str">
        <f t="shared" ca="1" si="3"/>
        <v/>
      </c>
      <c r="T17" s="215" t="str">
        <f ca="1">IF(B17="","",IF(ISERROR(MATCH($J17,SorP!$B$1:$B$6230,0)),"",INDIRECT("'SorP'!$A$"&amp;MATCH($J17,SorP!$B$1:$B$6230,0))))</f>
        <v/>
      </c>
      <c r="U17" s="231"/>
      <c r="V17" s="262" t="e">
        <f>IF(C17="",NA(),IF(OR(C17="Smelter not listed",C17="Smelter not yet identified"),MATCH($B17&amp;$D17,'Smelter Look-up'!$J:$J,0),MATCH($B17&amp;$C17,'Smelter Look-up'!$J:$J,0)))</f>
        <v>#N/A</v>
      </c>
      <c r="W17" s="263"/>
      <c r="X17" s="263">
        <f t="shared" si="4"/>
        <v>0</v>
      </c>
      <c r="Y17" s="263"/>
      <c r="Z17" s="263"/>
      <c r="AB17" s="265" t="str">
        <f t="shared" si="5"/>
        <v/>
      </c>
    </row>
    <row r="18" spans="1:28" s="264" customFormat="1" ht="19.95" customHeight="1">
      <c r="A18" s="207"/>
      <c r="B18" s="208"/>
      <c r="C18" s="212"/>
      <c r="D18" s="270"/>
      <c r="E18" s="208"/>
      <c r="F18" s="208"/>
      <c r="G18" s="208"/>
      <c r="H18" s="209"/>
      <c r="I18" s="210"/>
      <c r="J18" s="210"/>
      <c r="K18" s="260"/>
      <c r="L18" s="260"/>
      <c r="M18" s="260"/>
      <c r="N18" s="260"/>
      <c r="O18" s="260"/>
      <c r="P18" s="211"/>
      <c r="Q18" s="261"/>
      <c r="R18" s="208" t="str">
        <f ca="1">IF(ISERROR($V18),"",OFFSET('Smelter Look-up'!$C$4,$V18-4,0)&amp;"")</f>
        <v/>
      </c>
      <c r="S18" s="215" t="str">
        <f t="shared" ca="1" si="3"/>
        <v/>
      </c>
      <c r="T18" s="215" t="str">
        <f ca="1">IF(B18="","",IF(ISERROR(MATCH($J18,SorP!$B$1:$B$6230,0)),"",INDIRECT("'SorP'!$A$"&amp;MATCH($J18,SorP!$B$1:$B$6230,0))))</f>
        <v/>
      </c>
      <c r="U18" s="231"/>
      <c r="V18" s="262" t="e">
        <f>IF(C18="",NA(),IF(OR(C18="Smelter not listed",C18="Smelter not yet identified"),MATCH($B18&amp;$D18,'Smelter Look-up'!$J:$J,0),MATCH($B18&amp;$C18,'Smelter Look-up'!$J:$J,0)))</f>
        <v>#N/A</v>
      </c>
      <c r="W18" s="263"/>
      <c r="X18" s="263">
        <f t="shared" si="4"/>
        <v>0</v>
      </c>
      <c r="Y18" s="263"/>
      <c r="Z18" s="263"/>
      <c r="AB18" s="265" t="str">
        <f t="shared" si="5"/>
        <v/>
      </c>
    </row>
    <row r="19" spans="1:28" s="264" customFormat="1" ht="20.399999999999999">
      <c r="A19" s="207"/>
      <c r="B19" s="208"/>
      <c r="C19" s="212"/>
      <c r="D19" s="270"/>
      <c r="E19" s="208"/>
      <c r="F19" s="208"/>
      <c r="G19" s="208"/>
      <c r="H19" s="209"/>
      <c r="I19" s="210"/>
      <c r="J19" s="210"/>
      <c r="K19" s="260"/>
      <c r="L19" s="260"/>
      <c r="M19" s="260"/>
      <c r="N19" s="260"/>
      <c r="O19" s="260"/>
      <c r="P19" s="211"/>
      <c r="Q19" s="261"/>
      <c r="R19" s="208" t="str">
        <f ca="1">IF(ISERROR($V19),"",OFFSET('Smelter Look-up'!$C$4,$V19-4,0)&amp;"")</f>
        <v/>
      </c>
      <c r="S19" s="215" t="str">
        <f t="shared" ca="1" si="3"/>
        <v/>
      </c>
      <c r="T19" s="215" t="str">
        <f ca="1">IF(B19="","",IF(ISERROR(MATCH($J19,SorP!$B$1:$B$6230,0)),"",INDIRECT("'SorP'!$A$"&amp;MATCH($J19,SorP!$B$1:$B$6230,0))))</f>
        <v/>
      </c>
      <c r="U19" s="231"/>
      <c r="V19" s="262" t="e">
        <f>IF(C19="",NA(),IF(OR(C19="Smelter not listed",C19="Smelter not yet identified"),MATCH($B19&amp;$D19,'Smelter Look-up'!$J:$J,0),MATCH($B19&amp;$C19,'Smelter Look-up'!$J:$J,0)))</f>
        <v>#N/A</v>
      </c>
      <c r="W19" s="263"/>
      <c r="X19" s="263">
        <f t="shared" si="4"/>
        <v>0</v>
      </c>
      <c r="Y19" s="263"/>
      <c r="Z19" s="263"/>
      <c r="AB19" s="265" t="str">
        <f t="shared" si="5"/>
        <v/>
      </c>
    </row>
    <row r="20" spans="1:28" s="264" customFormat="1" ht="20.399999999999999">
      <c r="A20" s="207"/>
      <c r="B20" s="208"/>
      <c r="C20" s="212"/>
      <c r="D20" s="270"/>
      <c r="E20" s="208"/>
      <c r="F20" s="208"/>
      <c r="G20" s="208"/>
      <c r="H20" s="209"/>
      <c r="I20" s="210"/>
      <c r="J20" s="210"/>
      <c r="K20" s="260"/>
      <c r="L20" s="260"/>
      <c r="M20" s="260"/>
      <c r="N20" s="260"/>
      <c r="O20" s="260"/>
      <c r="P20" s="211"/>
      <c r="Q20" s="261"/>
      <c r="R20" s="208" t="str">
        <f ca="1">IF(ISERROR($V20),"",OFFSET('Smelter Look-up'!$C$4,$V20-4,0)&amp;"")</f>
        <v/>
      </c>
      <c r="S20" s="215" t="str">
        <f t="shared" ca="1" si="3"/>
        <v/>
      </c>
      <c r="T20" s="215" t="str">
        <f ca="1">IF(B20="","",IF(ISERROR(MATCH($J20,SorP!$B$1:$B$6230,0)),"",INDIRECT("'SorP'!$A$"&amp;MATCH($J20,SorP!$B$1:$B$6230,0))))</f>
        <v/>
      </c>
      <c r="U20" s="231"/>
      <c r="V20" s="262" t="e">
        <f>IF(C20="",NA(),IF(OR(C20="Smelter not listed",C20="Smelter not yet identified"),MATCH($B20&amp;$D20,'Smelter Look-up'!$J:$J,0),MATCH($B20&amp;$C20,'Smelter Look-up'!$J:$J,0)))</f>
        <v>#N/A</v>
      </c>
      <c r="W20" s="263"/>
      <c r="X20" s="263">
        <f t="shared" si="4"/>
        <v>0</v>
      </c>
      <c r="Y20" s="263"/>
      <c r="Z20" s="263"/>
      <c r="AB20" s="265" t="str">
        <f t="shared" si="5"/>
        <v/>
      </c>
    </row>
    <row r="21" spans="1:28" s="264" customFormat="1" ht="20.399999999999999">
      <c r="A21" s="207"/>
      <c r="B21" s="208"/>
      <c r="C21" s="212"/>
      <c r="D21" s="270"/>
      <c r="E21" s="208"/>
      <c r="F21" s="208"/>
      <c r="G21" s="208"/>
      <c r="H21" s="209"/>
      <c r="I21" s="210"/>
      <c r="J21" s="210"/>
      <c r="K21" s="260"/>
      <c r="L21" s="260"/>
      <c r="M21" s="260"/>
      <c r="N21" s="260"/>
      <c r="O21" s="260"/>
      <c r="P21" s="211"/>
      <c r="Q21" s="261"/>
      <c r="R21" s="208" t="str">
        <f ca="1">IF(ISERROR($V21),"",OFFSET('Smelter Look-up'!$C$4,$V21-4,0)&amp;"")</f>
        <v/>
      </c>
      <c r="S21" s="215" t="str">
        <f t="shared" ca="1" si="3"/>
        <v/>
      </c>
      <c r="T21" s="215" t="str">
        <f ca="1">IF(B21="","",IF(ISERROR(MATCH($J21,SorP!$B$1:$B$6230,0)),"",INDIRECT("'SorP'!$A$"&amp;MATCH($J21,SorP!$B$1:$B$6230,0))))</f>
        <v/>
      </c>
      <c r="U21" s="231"/>
      <c r="V21" s="262" t="e">
        <f>IF(C21="",NA(),IF(OR(C21="Smelter not listed",C21="Smelter not yet identified"),MATCH($B21&amp;$D21,'Smelter Look-up'!$J:$J,0),MATCH($B21&amp;$C21,'Smelter Look-up'!$J:$J,0)))</f>
        <v>#N/A</v>
      </c>
      <c r="W21" s="263"/>
      <c r="X21" s="263">
        <f t="shared" si="4"/>
        <v>0</v>
      </c>
      <c r="Y21" s="263"/>
      <c r="Z21" s="263"/>
      <c r="AB21" s="265" t="str">
        <f t="shared" si="5"/>
        <v/>
      </c>
    </row>
    <row r="22" spans="1:28" s="264" customFormat="1" ht="20.399999999999999">
      <c r="A22" s="207"/>
      <c r="B22" s="208"/>
      <c r="C22" s="212"/>
      <c r="D22" s="270"/>
      <c r="E22" s="208"/>
      <c r="F22" s="208"/>
      <c r="G22" s="208"/>
      <c r="H22" s="209"/>
      <c r="I22" s="210"/>
      <c r="J22" s="210"/>
      <c r="K22" s="260"/>
      <c r="L22" s="260"/>
      <c r="M22" s="260"/>
      <c r="N22" s="260"/>
      <c r="O22" s="260"/>
      <c r="P22" s="211"/>
      <c r="Q22" s="261"/>
      <c r="R22" s="208" t="str">
        <f ca="1">IF(ISERROR($V22),"",OFFSET('Smelter Look-up'!$C$4,$V22-4,0)&amp;"")</f>
        <v/>
      </c>
      <c r="S22" s="215" t="str">
        <f t="shared" ca="1" si="3"/>
        <v/>
      </c>
      <c r="T22" s="215" t="str">
        <f ca="1">IF(B22="","",IF(ISERROR(MATCH($J22,SorP!$B$1:$B$6230,0)),"",INDIRECT("'SorP'!$A$"&amp;MATCH($J22,SorP!$B$1:$B$6230,0))))</f>
        <v/>
      </c>
      <c r="U22" s="231"/>
      <c r="V22" s="262" t="e">
        <f>IF(C22="",NA(),IF(OR(C22="Smelter not listed",C22="Smelter not yet identified"),MATCH($B22&amp;$D22,'Smelter Look-up'!$J:$J,0),MATCH($B22&amp;$C22,'Smelter Look-up'!$J:$J,0)))</f>
        <v>#N/A</v>
      </c>
      <c r="W22" s="263"/>
      <c r="X22" s="263">
        <f t="shared" si="4"/>
        <v>0</v>
      </c>
      <c r="Y22" s="263"/>
      <c r="Z22" s="263"/>
      <c r="AB22" s="265" t="str">
        <f t="shared" si="5"/>
        <v/>
      </c>
    </row>
    <row r="23" spans="1:28" s="264" customFormat="1" ht="20.399999999999999">
      <c r="A23" s="207"/>
      <c r="B23" s="208"/>
      <c r="C23" s="212"/>
      <c r="D23" s="270"/>
      <c r="E23" s="208"/>
      <c r="F23" s="208"/>
      <c r="G23" s="208"/>
      <c r="H23" s="209"/>
      <c r="I23" s="210"/>
      <c r="J23" s="210"/>
      <c r="K23" s="260"/>
      <c r="L23" s="260"/>
      <c r="M23" s="260"/>
      <c r="N23" s="260"/>
      <c r="O23" s="260"/>
      <c r="P23" s="211"/>
      <c r="Q23" s="261"/>
      <c r="R23" s="208" t="str">
        <f ca="1">IF(ISERROR($V23),"",OFFSET('Smelter Look-up'!$C$4,$V23-4,0)&amp;"")</f>
        <v/>
      </c>
      <c r="S23" s="215" t="str">
        <f t="shared" ca="1" si="3"/>
        <v/>
      </c>
      <c r="T23" s="215" t="str">
        <f ca="1">IF(B23="","",IF(ISERROR(MATCH($J23,SorP!$B$1:$B$6230,0)),"",INDIRECT("'SorP'!$A$"&amp;MATCH($J23,SorP!$B$1:$B$6230,0))))</f>
        <v/>
      </c>
      <c r="U23" s="231"/>
      <c r="V23" s="262" t="e">
        <f>IF(C23="",NA(),IF(OR(C23="Smelter not listed",C23="Smelter not yet identified"),MATCH($B23&amp;$D23,'Smelter Look-up'!$J:$J,0),MATCH($B23&amp;$C23,'Smelter Look-up'!$J:$J,0)))</f>
        <v>#N/A</v>
      </c>
      <c r="W23" s="263"/>
      <c r="X23" s="263">
        <f t="shared" si="4"/>
        <v>0</v>
      </c>
      <c r="Y23" s="263"/>
      <c r="Z23" s="263"/>
      <c r="AB23" s="265" t="str">
        <f t="shared" si="5"/>
        <v/>
      </c>
    </row>
    <row r="24" spans="1:28" s="264" customFormat="1" ht="20.399999999999999">
      <c r="A24" s="207"/>
      <c r="B24" s="208"/>
      <c r="C24" s="212"/>
      <c r="D24" s="270"/>
      <c r="E24" s="208"/>
      <c r="F24" s="208"/>
      <c r="G24" s="208"/>
      <c r="H24" s="209"/>
      <c r="I24" s="210"/>
      <c r="J24" s="210"/>
      <c r="K24" s="260"/>
      <c r="L24" s="260"/>
      <c r="M24" s="260"/>
      <c r="N24" s="260"/>
      <c r="O24" s="260"/>
      <c r="P24" s="211"/>
      <c r="Q24" s="261"/>
      <c r="R24" s="208" t="str">
        <f ca="1">IF(ISERROR($V24),"",OFFSET('Smelter Look-up'!$C$4,$V24-4,0)&amp;"")</f>
        <v/>
      </c>
      <c r="S24" s="215" t="str">
        <f t="shared" ca="1" si="3"/>
        <v/>
      </c>
      <c r="T24" s="215" t="str">
        <f ca="1">IF(B24="","",IF(ISERROR(MATCH($J24,SorP!$B$1:$B$6230,0)),"",INDIRECT("'SorP'!$A$"&amp;MATCH($J24,SorP!$B$1:$B$6230,0))))</f>
        <v/>
      </c>
      <c r="U24" s="231"/>
      <c r="V24" s="262" t="e">
        <f>IF(C24="",NA(),IF(OR(C24="Smelter not listed",C24="Smelter not yet identified"),MATCH($B24&amp;$D24,'Smelter Look-up'!$J:$J,0),MATCH($B24&amp;$C24,'Smelter Look-up'!$J:$J,0)))</f>
        <v>#N/A</v>
      </c>
      <c r="W24" s="263"/>
      <c r="X24" s="263">
        <f t="shared" si="4"/>
        <v>0</v>
      </c>
      <c r="Y24" s="263"/>
      <c r="Z24" s="263"/>
      <c r="AB24" s="265" t="str">
        <f t="shared" si="5"/>
        <v/>
      </c>
    </row>
    <row r="25" spans="1:28" s="264" customFormat="1" ht="20.399999999999999">
      <c r="A25" s="207"/>
      <c r="B25" s="208"/>
      <c r="C25" s="212"/>
      <c r="D25" s="270"/>
      <c r="E25" s="208"/>
      <c r="F25" s="208"/>
      <c r="G25" s="208"/>
      <c r="H25" s="209"/>
      <c r="I25" s="210"/>
      <c r="J25" s="210"/>
      <c r="K25" s="260"/>
      <c r="L25" s="260"/>
      <c r="M25" s="260"/>
      <c r="N25" s="260"/>
      <c r="O25" s="260"/>
      <c r="P25" s="211"/>
      <c r="Q25" s="261"/>
      <c r="R25" s="208" t="str">
        <f ca="1">IF(ISERROR($V25),"",OFFSET('Smelter Look-up'!$C$4,$V25-4,0)&amp;"")</f>
        <v/>
      </c>
      <c r="S25" s="215" t="str">
        <f t="shared" ca="1" si="3"/>
        <v/>
      </c>
      <c r="T25" s="215" t="str">
        <f ca="1">IF(B25="","",IF(ISERROR(MATCH($J25,SorP!$B$1:$B$6230,0)),"",INDIRECT("'SorP'!$A$"&amp;MATCH($J25,SorP!$B$1:$B$6230,0))))</f>
        <v/>
      </c>
      <c r="U25" s="231"/>
      <c r="V25" s="262" t="e">
        <f>IF(C25="",NA(),IF(OR(C25="Smelter not listed",C25="Smelter not yet identified"),MATCH($B25&amp;$D25,'Smelter Look-up'!$J:$J,0),MATCH($B25&amp;$C25,'Smelter Look-up'!$J:$J,0)))</f>
        <v>#N/A</v>
      </c>
      <c r="W25" s="263"/>
      <c r="X25" s="263">
        <f t="shared" si="4"/>
        <v>0</v>
      </c>
      <c r="Y25" s="263"/>
      <c r="Z25" s="263"/>
      <c r="AB25" s="265" t="str">
        <f t="shared" si="5"/>
        <v/>
      </c>
    </row>
    <row r="26" spans="1:28" s="264" customFormat="1" ht="20.399999999999999">
      <c r="A26" s="207"/>
      <c r="B26" s="208"/>
      <c r="C26" s="212"/>
      <c r="D26" s="270"/>
      <c r="E26" s="208"/>
      <c r="F26" s="208"/>
      <c r="G26" s="208"/>
      <c r="H26" s="209"/>
      <c r="I26" s="210"/>
      <c r="J26" s="210"/>
      <c r="K26" s="260"/>
      <c r="L26" s="260"/>
      <c r="M26" s="260"/>
      <c r="N26" s="260"/>
      <c r="O26" s="260"/>
      <c r="P26" s="211"/>
      <c r="Q26" s="261"/>
      <c r="R26" s="208" t="str">
        <f ca="1">IF(ISERROR($V26),"",OFFSET('Smelter Look-up'!$C$4,$V26-4,0)&amp;"")</f>
        <v/>
      </c>
      <c r="S26" s="215" t="str">
        <f t="shared" ca="1" si="3"/>
        <v/>
      </c>
      <c r="T26" s="215" t="str">
        <f ca="1">IF(B26="","",IF(ISERROR(MATCH($J26,SorP!$B$1:$B$6230,0)),"",INDIRECT("'SorP'!$A$"&amp;MATCH($J26,SorP!$B$1:$B$6230,0))))</f>
        <v/>
      </c>
      <c r="U26" s="231"/>
      <c r="V26" s="262" t="e">
        <f>IF(C26="",NA(),IF(OR(C26="Smelter not listed",C26="Smelter not yet identified"),MATCH($B26&amp;$D26,'Smelter Look-up'!$J:$J,0),MATCH($B26&amp;$C26,'Smelter Look-up'!$J:$J,0)))</f>
        <v>#N/A</v>
      </c>
      <c r="W26" s="263"/>
      <c r="X26" s="263">
        <f t="shared" si="4"/>
        <v>0</v>
      </c>
      <c r="Y26" s="263"/>
      <c r="Z26" s="263"/>
      <c r="AB26" s="265" t="str">
        <f t="shared" si="5"/>
        <v/>
      </c>
    </row>
    <row r="27" spans="1:28" s="264" customFormat="1" ht="20.399999999999999">
      <c r="A27" s="207"/>
      <c r="B27" s="208"/>
      <c r="C27" s="212"/>
      <c r="D27" s="270"/>
      <c r="E27" s="208"/>
      <c r="F27" s="208"/>
      <c r="G27" s="208"/>
      <c r="H27" s="209"/>
      <c r="I27" s="210"/>
      <c r="J27" s="210"/>
      <c r="K27" s="260"/>
      <c r="L27" s="260"/>
      <c r="M27" s="260"/>
      <c r="N27" s="260"/>
      <c r="O27" s="260"/>
      <c r="P27" s="211"/>
      <c r="Q27" s="261"/>
      <c r="R27" s="208" t="str">
        <f ca="1">IF(ISERROR($V27),"",OFFSET('Smelter Look-up'!$C$4,$V27-4,0)&amp;"")</f>
        <v/>
      </c>
      <c r="S27" s="215" t="str">
        <f t="shared" ca="1" si="3"/>
        <v/>
      </c>
      <c r="T27" s="215" t="str">
        <f ca="1">IF(B27="","",IF(ISERROR(MATCH($J27,SorP!$B$1:$B$6230,0)),"",INDIRECT("'SorP'!$A$"&amp;MATCH($J27,SorP!$B$1:$B$6230,0))))</f>
        <v/>
      </c>
      <c r="U27" s="231"/>
      <c r="V27" s="262" t="e">
        <f>IF(C27="",NA(),IF(OR(C27="Smelter not listed",C27="Smelter not yet identified"),MATCH($B27&amp;$D27,'Smelter Look-up'!$J:$J,0),MATCH($B27&amp;$C27,'Smelter Look-up'!$J:$J,0)))</f>
        <v>#N/A</v>
      </c>
      <c r="W27" s="263"/>
      <c r="X27" s="263">
        <f t="shared" si="4"/>
        <v>0</v>
      </c>
      <c r="Y27" s="263"/>
      <c r="Z27" s="263"/>
      <c r="AB27" s="265" t="str">
        <f t="shared" si="5"/>
        <v/>
      </c>
    </row>
    <row r="28" spans="1:28" s="264" customFormat="1" ht="20.399999999999999">
      <c r="A28" s="207"/>
      <c r="B28" s="208"/>
      <c r="C28" s="212"/>
      <c r="D28" s="270"/>
      <c r="E28" s="208"/>
      <c r="F28" s="208"/>
      <c r="G28" s="208"/>
      <c r="H28" s="209"/>
      <c r="I28" s="210"/>
      <c r="J28" s="210"/>
      <c r="K28" s="260"/>
      <c r="L28" s="260"/>
      <c r="M28" s="260"/>
      <c r="N28" s="260"/>
      <c r="O28" s="260"/>
      <c r="P28" s="211"/>
      <c r="Q28" s="261"/>
      <c r="R28" s="208" t="str">
        <f ca="1">IF(ISERROR($V28),"",OFFSET('Smelter Look-up'!$C$4,$V28-4,0)&amp;"")</f>
        <v/>
      </c>
      <c r="S28" s="215" t="str">
        <f t="shared" ca="1" si="3"/>
        <v/>
      </c>
      <c r="T28" s="215" t="str">
        <f ca="1">IF(B28="","",IF(ISERROR(MATCH($J28,SorP!$B$1:$B$6230,0)),"",INDIRECT("'SorP'!$A$"&amp;MATCH($J28,SorP!$B$1:$B$6230,0))))</f>
        <v/>
      </c>
      <c r="U28" s="231"/>
      <c r="V28" s="262" t="e">
        <f>IF(C28="",NA(),IF(OR(C28="Smelter not listed",C28="Smelter not yet identified"),MATCH($B28&amp;$D28,'Smelter Look-up'!$J:$J,0),MATCH($B28&amp;$C28,'Smelter Look-up'!$J:$J,0)))</f>
        <v>#N/A</v>
      </c>
      <c r="W28" s="263"/>
      <c r="X28" s="263">
        <f t="shared" si="4"/>
        <v>0</v>
      </c>
      <c r="Y28" s="263"/>
      <c r="Z28" s="263"/>
      <c r="AB28" s="265" t="str">
        <f t="shared" si="5"/>
        <v/>
      </c>
    </row>
    <row r="29" spans="1:28" s="264" customFormat="1" ht="20.399999999999999">
      <c r="A29" s="207"/>
      <c r="B29" s="208"/>
      <c r="C29" s="212"/>
      <c r="D29" s="270"/>
      <c r="E29" s="208"/>
      <c r="F29" s="208"/>
      <c r="G29" s="208"/>
      <c r="H29" s="209"/>
      <c r="I29" s="210"/>
      <c r="J29" s="210"/>
      <c r="K29" s="260"/>
      <c r="L29" s="260"/>
      <c r="M29" s="260"/>
      <c r="N29" s="260"/>
      <c r="O29" s="260"/>
      <c r="P29" s="211"/>
      <c r="Q29" s="261"/>
      <c r="R29" s="208" t="str">
        <f ca="1">IF(ISERROR($V29),"",OFFSET('Smelter Look-up'!$C$4,$V29-4,0)&amp;"")</f>
        <v/>
      </c>
      <c r="S29" s="215" t="str">
        <f t="shared" ca="1" si="3"/>
        <v/>
      </c>
      <c r="T29" s="215" t="str">
        <f ca="1">IF(B29="","",IF(ISERROR(MATCH($J29,SorP!$B$1:$B$6230,0)),"",INDIRECT("'SorP'!$A$"&amp;MATCH($J29,SorP!$B$1:$B$6230,0))))</f>
        <v/>
      </c>
      <c r="U29" s="231"/>
      <c r="V29" s="262" t="e">
        <f>IF(C29="",NA(),IF(OR(C29="Smelter not listed",C29="Smelter not yet identified"),MATCH($B29&amp;$D29,'Smelter Look-up'!$J:$J,0),MATCH($B29&amp;$C29,'Smelter Look-up'!$J:$J,0)))</f>
        <v>#N/A</v>
      </c>
      <c r="W29" s="263"/>
      <c r="X29" s="263">
        <f t="shared" si="4"/>
        <v>0</v>
      </c>
      <c r="Y29" s="263"/>
      <c r="Z29" s="263"/>
      <c r="AB29" s="265" t="str">
        <f t="shared" si="5"/>
        <v/>
      </c>
    </row>
    <row r="30" spans="1:28" s="264" customFormat="1" ht="20.399999999999999">
      <c r="A30" s="207"/>
      <c r="B30" s="208"/>
      <c r="C30" s="212"/>
      <c r="D30" s="270"/>
      <c r="E30" s="208"/>
      <c r="F30" s="208"/>
      <c r="G30" s="208"/>
      <c r="H30" s="209"/>
      <c r="I30" s="210"/>
      <c r="J30" s="210"/>
      <c r="K30" s="260"/>
      <c r="L30" s="260"/>
      <c r="M30" s="260"/>
      <c r="N30" s="260"/>
      <c r="O30" s="260"/>
      <c r="P30" s="211"/>
      <c r="Q30" s="261"/>
      <c r="R30" s="208" t="str">
        <f ca="1">IF(ISERROR($V30),"",OFFSET('Smelter Look-up'!$C$4,$V30-4,0)&amp;"")</f>
        <v/>
      </c>
      <c r="S30" s="215" t="str">
        <f t="shared" ca="1" si="3"/>
        <v/>
      </c>
      <c r="T30" s="215" t="str">
        <f ca="1">IF(B30="","",IF(ISERROR(MATCH($J30,SorP!$B$1:$B$6230,0)),"",INDIRECT("'SorP'!$A$"&amp;MATCH($J30,SorP!$B$1:$B$6230,0))))</f>
        <v/>
      </c>
      <c r="U30" s="231"/>
      <c r="V30" s="262" t="e">
        <f>IF(C30="",NA(),IF(OR(C30="Smelter not listed",C30="Smelter not yet identified"),MATCH($B30&amp;$D30,'Smelter Look-up'!$J:$J,0),MATCH($B30&amp;$C30,'Smelter Look-up'!$J:$J,0)))</f>
        <v>#N/A</v>
      </c>
      <c r="W30" s="263"/>
      <c r="X30" s="263">
        <f t="shared" si="4"/>
        <v>0</v>
      </c>
      <c r="Y30" s="263"/>
      <c r="Z30" s="263"/>
      <c r="AB30" s="265" t="str">
        <f t="shared" si="5"/>
        <v/>
      </c>
    </row>
    <row r="31" spans="1:28" s="264" customFormat="1" ht="20.399999999999999">
      <c r="A31" s="207"/>
      <c r="B31" s="208"/>
      <c r="C31" s="212"/>
      <c r="D31" s="270"/>
      <c r="E31" s="208"/>
      <c r="F31" s="208"/>
      <c r="G31" s="208"/>
      <c r="H31" s="209"/>
      <c r="I31" s="210"/>
      <c r="J31" s="210"/>
      <c r="K31" s="260"/>
      <c r="L31" s="260"/>
      <c r="M31" s="260"/>
      <c r="N31" s="260"/>
      <c r="O31" s="260"/>
      <c r="P31" s="211"/>
      <c r="Q31" s="261"/>
      <c r="R31" s="208" t="str">
        <f ca="1">IF(ISERROR($V31),"",OFFSET('Smelter Look-up'!$C$4,$V31-4,0)&amp;"")</f>
        <v/>
      </c>
      <c r="S31" s="215" t="str">
        <f t="shared" ca="1" si="3"/>
        <v/>
      </c>
      <c r="T31" s="215" t="str">
        <f ca="1">IF(B31="","",IF(ISERROR(MATCH($J31,SorP!$B$1:$B$6230,0)),"",INDIRECT("'SorP'!$A$"&amp;MATCH($J31,SorP!$B$1:$B$6230,0))))</f>
        <v/>
      </c>
      <c r="U31" s="231"/>
      <c r="V31" s="262" t="e">
        <f>IF(C31="",NA(),IF(OR(C31="Smelter not listed",C31="Smelter not yet identified"),MATCH($B31&amp;$D31,'Smelter Look-up'!$J:$J,0),MATCH($B31&amp;$C31,'Smelter Look-up'!$J:$J,0)))</f>
        <v>#N/A</v>
      </c>
      <c r="W31" s="263"/>
      <c r="X31" s="263">
        <f t="shared" si="4"/>
        <v>0</v>
      </c>
      <c r="Y31" s="263"/>
      <c r="Z31" s="263"/>
      <c r="AB31" s="265" t="str">
        <f t="shared" si="5"/>
        <v/>
      </c>
    </row>
    <row r="32" spans="1:28" s="264" customFormat="1" ht="20.399999999999999">
      <c r="A32" s="207"/>
      <c r="B32" s="208"/>
      <c r="C32" s="212"/>
      <c r="D32" s="270"/>
      <c r="E32" s="208"/>
      <c r="F32" s="208"/>
      <c r="G32" s="208"/>
      <c r="H32" s="209"/>
      <c r="I32" s="210"/>
      <c r="J32" s="210"/>
      <c r="K32" s="260"/>
      <c r="L32" s="260"/>
      <c r="M32" s="260"/>
      <c r="N32" s="260"/>
      <c r="O32" s="260"/>
      <c r="P32" s="211"/>
      <c r="Q32" s="261"/>
      <c r="R32" s="208" t="str">
        <f ca="1">IF(ISERROR($V32),"",OFFSET('Smelter Look-up'!$C$4,$V32-4,0)&amp;"")</f>
        <v/>
      </c>
      <c r="S32" s="215" t="str">
        <f t="shared" ca="1" si="3"/>
        <v/>
      </c>
      <c r="T32" s="215" t="str">
        <f ca="1">IF(B32="","",IF(ISERROR(MATCH($J32,SorP!$B$1:$B$6230,0)),"",INDIRECT("'SorP'!$A$"&amp;MATCH($J32,SorP!$B$1:$B$6230,0))))</f>
        <v/>
      </c>
      <c r="U32" s="231"/>
      <c r="V32" s="262" t="e">
        <f>IF(C32="",NA(),IF(OR(C32="Smelter not listed",C32="Smelter not yet identified"),MATCH($B32&amp;$D32,'Smelter Look-up'!$J:$J,0),MATCH($B32&amp;$C32,'Smelter Look-up'!$J:$J,0)))</f>
        <v>#N/A</v>
      </c>
      <c r="W32" s="263"/>
      <c r="X32" s="263">
        <f t="shared" si="4"/>
        <v>0</v>
      </c>
      <c r="Y32" s="263"/>
      <c r="Z32" s="263"/>
      <c r="AB32" s="265" t="str">
        <f t="shared" si="5"/>
        <v/>
      </c>
    </row>
    <row r="33" spans="1:28" s="264" customFormat="1" ht="20.399999999999999">
      <c r="A33" s="207"/>
      <c r="B33" s="208"/>
      <c r="C33" s="212"/>
      <c r="D33" s="270"/>
      <c r="E33" s="208"/>
      <c r="F33" s="208"/>
      <c r="G33" s="208"/>
      <c r="H33" s="209"/>
      <c r="I33" s="210"/>
      <c r="J33" s="210"/>
      <c r="K33" s="260"/>
      <c r="L33" s="260"/>
      <c r="M33" s="260"/>
      <c r="N33" s="260"/>
      <c r="O33" s="260"/>
      <c r="P33" s="211"/>
      <c r="Q33" s="261"/>
      <c r="R33" s="208" t="str">
        <f ca="1">IF(ISERROR($V33),"",OFFSET('Smelter Look-up'!$C$4,$V33-4,0)&amp;"")</f>
        <v/>
      </c>
      <c r="S33" s="215" t="str">
        <f t="shared" ca="1" si="3"/>
        <v/>
      </c>
      <c r="T33" s="215" t="str">
        <f ca="1">IF(B33="","",IF(ISERROR(MATCH($J33,SorP!$B$1:$B$6230,0)),"",INDIRECT("'SorP'!$A$"&amp;MATCH($J33,SorP!$B$1:$B$6230,0))))</f>
        <v/>
      </c>
      <c r="U33" s="231"/>
      <c r="V33" s="262" t="e">
        <f>IF(C33="",NA(),IF(OR(C33="Smelter not listed",C33="Smelter not yet identified"),MATCH($B33&amp;$D33,'Smelter Look-up'!$J:$J,0),MATCH($B33&amp;$C33,'Smelter Look-up'!$J:$J,0)))</f>
        <v>#N/A</v>
      </c>
      <c r="W33" s="263"/>
      <c r="X33" s="263">
        <f t="shared" si="4"/>
        <v>0</v>
      </c>
      <c r="Y33" s="263"/>
      <c r="Z33" s="263"/>
      <c r="AB33" s="265" t="str">
        <f t="shared" si="5"/>
        <v/>
      </c>
    </row>
    <row r="34" spans="1:28" s="264" customFormat="1" ht="20.399999999999999">
      <c r="A34" s="207"/>
      <c r="B34" s="208"/>
      <c r="C34" s="212"/>
      <c r="D34" s="270"/>
      <c r="E34" s="208"/>
      <c r="F34" s="208"/>
      <c r="G34" s="208"/>
      <c r="H34" s="209"/>
      <c r="I34" s="210"/>
      <c r="J34" s="210"/>
      <c r="K34" s="260"/>
      <c r="L34" s="260"/>
      <c r="M34" s="260"/>
      <c r="N34" s="260"/>
      <c r="O34" s="260"/>
      <c r="P34" s="211"/>
      <c r="Q34" s="261"/>
      <c r="R34" s="208" t="str">
        <f ca="1">IF(ISERROR($V34),"",OFFSET('Smelter Look-up'!$C$4,$V34-4,0)&amp;"")</f>
        <v/>
      </c>
      <c r="S34" s="215" t="str">
        <f t="shared" ca="1" si="3"/>
        <v/>
      </c>
      <c r="T34" s="215" t="str">
        <f ca="1">IF(B34="","",IF(ISERROR(MATCH($J34,SorP!$B$1:$B$6230,0)),"",INDIRECT("'SorP'!$A$"&amp;MATCH($J34,SorP!$B$1:$B$6230,0))))</f>
        <v/>
      </c>
      <c r="U34" s="231"/>
      <c r="V34" s="262" t="e">
        <f>IF(C34="",NA(),IF(OR(C34="Smelter not listed",C34="Smelter not yet identified"),MATCH($B34&amp;$D34,'Smelter Look-up'!$J:$J,0),MATCH($B34&amp;$C34,'Smelter Look-up'!$J:$J,0)))</f>
        <v>#N/A</v>
      </c>
      <c r="W34" s="263"/>
      <c r="X34" s="263">
        <f t="shared" si="4"/>
        <v>0</v>
      </c>
      <c r="Y34" s="263"/>
      <c r="Z34" s="263"/>
      <c r="AB34" s="265" t="str">
        <f t="shared" si="5"/>
        <v/>
      </c>
    </row>
    <row r="35" spans="1:28" s="264" customFormat="1" ht="20.399999999999999">
      <c r="A35" s="207"/>
      <c r="B35" s="208"/>
      <c r="C35" s="212"/>
      <c r="D35" s="270"/>
      <c r="E35" s="208"/>
      <c r="F35" s="208"/>
      <c r="G35" s="208"/>
      <c r="H35" s="209"/>
      <c r="I35" s="210"/>
      <c r="J35" s="210"/>
      <c r="K35" s="260"/>
      <c r="L35" s="260"/>
      <c r="M35" s="260"/>
      <c r="N35" s="260"/>
      <c r="O35" s="260"/>
      <c r="P35" s="211"/>
      <c r="Q35" s="261"/>
      <c r="R35" s="208" t="str">
        <f ca="1">IF(ISERROR($V35),"",OFFSET('Smelter Look-up'!$C$4,$V35-4,0)&amp;"")</f>
        <v/>
      </c>
      <c r="S35" s="215" t="str">
        <f t="shared" ca="1" si="3"/>
        <v/>
      </c>
      <c r="T35" s="215" t="str">
        <f ca="1">IF(B35="","",IF(ISERROR(MATCH($J35,SorP!$B$1:$B$6230,0)),"",INDIRECT("'SorP'!$A$"&amp;MATCH($J35,SorP!$B$1:$B$6230,0))))</f>
        <v/>
      </c>
      <c r="U35" s="231"/>
      <c r="V35" s="262" t="e">
        <f>IF(C35="",NA(),IF(OR(C35="Smelter not listed",C35="Smelter not yet identified"),MATCH($B35&amp;$D35,'Smelter Look-up'!$J:$J,0),MATCH($B35&amp;$C35,'Smelter Look-up'!$J:$J,0)))</f>
        <v>#N/A</v>
      </c>
      <c r="W35" s="263"/>
      <c r="X35" s="263">
        <f t="shared" si="4"/>
        <v>0</v>
      </c>
      <c r="Y35" s="263"/>
      <c r="Z35" s="263"/>
      <c r="AB35" s="265" t="str">
        <f t="shared" si="5"/>
        <v/>
      </c>
    </row>
    <row r="36" spans="1:28" s="264" customFormat="1" ht="20.399999999999999">
      <c r="A36" s="207"/>
      <c r="B36" s="208"/>
      <c r="C36" s="212"/>
      <c r="D36" s="270"/>
      <c r="E36" s="208"/>
      <c r="F36" s="208"/>
      <c r="G36" s="208"/>
      <c r="H36" s="209"/>
      <c r="I36" s="210"/>
      <c r="J36" s="210"/>
      <c r="K36" s="260"/>
      <c r="L36" s="260"/>
      <c r="M36" s="260"/>
      <c r="N36" s="260"/>
      <c r="O36" s="260"/>
      <c r="P36" s="211"/>
      <c r="Q36" s="261"/>
      <c r="R36" s="208" t="str">
        <f ca="1">IF(ISERROR($V36),"",OFFSET('Smelter Look-up'!$C$4,$V36-4,0)&amp;"")</f>
        <v/>
      </c>
      <c r="S36" s="215" t="str">
        <f t="shared" ca="1" si="3"/>
        <v/>
      </c>
      <c r="T36" s="215" t="str">
        <f ca="1">IF(B36="","",IF(ISERROR(MATCH($J36,SorP!$B$1:$B$6230,0)),"",INDIRECT("'SorP'!$A$"&amp;MATCH($J36,SorP!$B$1:$B$6230,0))))</f>
        <v/>
      </c>
      <c r="U36" s="231"/>
      <c r="V36" s="262" t="e">
        <f>IF(C36="",NA(),IF(OR(C36="Smelter not listed",C36="Smelter not yet identified"),MATCH($B36&amp;$D36,'Smelter Look-up'!$J:$J,0),MATCH($B36&amp;$C36,'Smelter Look-up'!$J:$J,0)))</f>
        <v>#N/A</v>
      </c>
      <c r="W36" s="263"/>
      <c r="X36" s="263">
        <f t="shared" si="4"/>
        <v>0</v>
      </c>
      <c r="Y36" s="263"/>
      <c r="Z36" s="263"/>
      <c r="AB36" s="265" t="str">
        <f t="shared" si="5"/>
        <v/>
      </c>
    </row>
    <row r="37" spans="1:28" s="264" customFormat="1" ht="20.399999999999999">
      <c r="A37" s="207"/>
      <c r="B37" s="208"/>
      <c r="C37" s="212"/>
      <c r="D37" s="270"/>
      <c r="E37" s="208"/>
      <c r="F37" s="208"/>
      <c r="G37" s="208"/>
      <c r="H37" s="209"/>
      <c r="I37" s="210"/>
      <c r="J37" s="210"/>
      <c r="K37" s="260"/>
      <c r="L37" s="260"/>
      <c r="M37" s="260"/>
      <c r="N37" s="260"/>
      <c r="O37" s="260"/>
      <c r="P37" s="211"/>
      <c r="Q37" s="261"/>
      <c r="R37" s="208" t="str">
        <f ca="1">IF(ISERROR($V37),"",OFFSET('Smelter Look-up'!$C$4,$V37-4,0)&amp;"")</f>
        <v/>
      </c>
      <c r="S37" s="215" t="str">
        <f t="shared" ca="1" si="3"/>
        <v/>
      </c>
      <c r="T37" s="215" t="str">
        <f ca="1">IF(B37="","",IF(ISERROR(MATCH($J37,SorP!$B$1:$B$6230,0)),"",INDIRECT("'SorP'!$A$"&amp;MATCH($J37,SorP!$B$1:$B$6230,0))))</f>
        <v/>
      </c>
      <c r="U37" s="231"/>
      <c r="V37" s="262" t="e">
        <f>IF(C37="",NA(),IF(OR(C37="Smelter not listed",C37="Smelter not yet identified"),MATCH($B37&amp;$D37,'Smelter Look-up'!$J:$J,0),MATCH($B37&amp;$C37,'Smelter Look-up'!$J:$J,0)))</f>
        <v>#N/A</v>
      </c>
      <c r="W37" s="263"/>
      <c r="X37" s="263">
        <f t="shared" si="4"/>
        <v>0</v>
      </c>
      <c r="Y37" s="263"/>
      <c r="Z37" s="263"/>
      <c r="AB37" s="265" t="str">
        <f t="shared" si="5"/>
        <v/>
      </c>
    </row>
    <row r="38" spans="1:28" s="264" customFormat="1" ht="20.399999999999999">
      <c r="A38" s="207"/>
      <c r="B38" s="208"/>
      <c r="C38" s="212"/>
      <c r="D38" s="270"/>
      <c r="E38" s="208"/>
      <c r="F38" s="208"/>
      <c r="G38" s="208"/>
      <c r="H38" s="209"/>
      <c r="I38" s="210"/>
      <c r="J38" s="210"/>
      <c r="K38" s="260"/>
      <c r="L38" s="260"/>
      <c r="M38" s="260"/>
      <c r="N38" s="260"/>
      <c r="O38" s="260"/>
      <c r="P38" s="211"/>
      <c r="Q38" s="261"/>
      <c r="R38" s="208" t="str">
        <f ca="1">IF(ISERROR($V38),"",OFFSET('Smelter Look-up'!$C$4,$V38-4,0)&amp;"")</f>
        <v/>
      </c>
      <c r="S38" s="215" t="str">
        <f t="shared" ref="S38:S68" ca="1" si="6">IF(B38="","",IF(ISERROR(MATCH($E38,CL,0)),"Unknown",INDIRECT("'C'!$A$"&amp;MATCH($E38,CL,0)+1)))</f>
        <v/>
      </c>
      <c r="T38" s="215" t="str">
        <f ca="1">IF(B38="","",IF(ISERROR(MATCH($J38,SorP!$B$1:$B$6230,0)),"",INDIRECT("'SorP'!$A$"&amp;MATCH($J38,SorP!$B$1:$B$6230,0))))</f>
        <v/>
      </c>
      <c r="U38" s="231"/>
      <c r="V38" s="262" t="e">
        <f>IF(C38="",NA(),IF(OR(C38="Smelter not listed",C38="Smelter not yet identified"),MATCH($B38&amp;$D38,'Smelter Look-up'!$J:$J,0),MATCH($B38&amp;$C38,'Smelter Look-up'!$J:$J,0)))</f>
        <v>#N/A</v>
      </c>
      <c r="W38" s="263"/>
      <c r="X38" s="263">
        <f t="shared" ref="X38:X68" si="7">IF(AND(C38="Smelter not listed",OR(LEN(D38)=0,LEN(E38)=0)),1,0)</f>
        <v>0</v>
      </c>
      <c r="Y38" s="263"/>
      <c r="Z38" s="263"/>
      <c r="AB38" s="265" t="str">
        <f t="shared" ref="AB38:AB68" si="8">B38&amp;C38</f>
        <v/>
      </c>
    </row>
    <row r="39" spans="1:28" s="264" customFormat="1" ht="20.399999999999999">
      <c r="A39" s="207"/>
      <c r="B39" s="208"/>
      <c r="C39" s="212"/>
      <c r="D39" s="270"/>
      <c r="E39" s="208"/>
      <c r="F39" s="208"/>
      <c r="G39" s="208"/>
      <c r="H39" s="209"/>
      <c r="I39" s="210"/>
      <c r="J39" s="210"/>
      <c r="K39" s="260"/>
      <c r="L39" s="260"/>
      <c r="M39" s="260"/>
      <c r="N39" s="260"/>
      <c r="O39" s="260"/>
      <c r="P39" s="211"/>
      <c r="Q39" s="261"/>
      <c r="R39" s="208" t="str">
        <f ca="1">IF(ISERROR($V39),"",OFFSET('Smelter Look-up'!$C$4,$V39-4,0)&amp;"")</f>
        <v/>
      </c>
      <c r="S39" s="215" t="str">
        <f t="shared" ca="1" si="6"/>
        <v/>
      </c>
      <c r="T39" s="215" t="str">
        <f ca="1">IF(B39="","",IF(ISERROR(MATCH($J39,SorP!$B$1:$B$6230,0)),"",INDIRECT("'SorP'!$A$"&amp;MATCH($J39,SorP!$B$1:$B$6230,0))))</f>
        <v/>
      </c>
      <c r="U39" s="231"/>
      <c r="V39" s="262" t="e">
        <f>IF(C39="",NA(),IF(OR(C39="Smelter not listed",C39="Smelter not yet identified"),MATCH($B39&amp;$D39,'Smelter Look-up'!$J:$J,0),MATCH($B39&amp;$C39,'Smelter Look-up'!$J:$J,0)))</f>
        <v>#N/A</v>
      </c>
      <c r="W39" s="263"/>
      <c r="X39" s="263">
        <f t="shared" si="7"/>
        <v>0</v>
      </c>
      <c r="Y39" s="263"/>
      <c r="Z39" s="263"/>
      <c r="AB39" s="265" t="str">
        <f t="shared" si="8"/>
        <v/>
      </c>
    </row>
    <row r="40" spans="1:28" s="264" customFormat="1" ht="20.399999999999999">
      <c r="A40" s="207"/>
      <c r="B40" s="208"/>
      <c r="C40" s="212"/>
      <c r="D40" s="270"/>
      <c r="E40" s="208"/>
      <c r="F40" s="208"/>
      <c r="G40" s="208"/>
      <c r="H40" s="209"/>
      <c r="I40" s="210"/>
      <c r="J40" s="210"/>
      <c r="K40" s="260"/>
      <c r="L40" s="260"/>
      <c r="M40" s="260"/>
      <c r="N40" s="260"/>
      <c r="O40" s="260"/>
      <c r="P40" s="211"/>
      <c r="Q40" s="261"/>
      <c r="R40" s="208" t="str">
        <f ca="1">IF(ISERROR($V40),"",OFFSET('Smelter Look-up'!$C$4,$V40-4,0)&amp;"")</f>
        <v/>
      </c>
      <c r="S40" s="215" t="str">
        <f t="shared" ca="1" si="6"/>
        <v/>
      </c>
      <c r="T40" s="215" t="str">
        <f ca="1">IF(B40="","",IF(ISERROR(MATCH($J40,SorP!$B$1:$B$6230,0)),"",INDIRECT("'SorP'!$A$"&amp;MATCH($J40,SorP!$B$1:$B$6230,0))))</f>
        <v/>
      </c>
      <c r="U40" s="231"/>
      <c r="V40" s="262" t="e">
        <f>IF(C40="",NA(),IF(OR(C40="Smelter not listed",C40="Smelter not yet identified"),MATCH($B40&amp;$D40,'Smelter Look-up'!$J:$J,0),MATCH($B40&amp;$C40,'Smelter Look-up'!$J:$J,0)))</f>
        <v>#N/A</v>
      </c>
      <c r="W40" s="263"/>
      <c r="X40" s="263">
        <f t="shared" si="7"/>
        <v>0</v>
      </c>
      <c r="Y40" s="263"/>
      <c r="Z40" s="263"/>
      <c r="AB40" s="265" t="str">
        <f t="shared" si="8"/>
        <v/>
      </c>
    </row>
    <row r="41" spans="1:28" s="264" customFormat="1" ht="20.399999999999999">
      <c r="A41" s="207"/>
      <c r="B41" s="208"/>
      <c r="C41" s="212"/>
      <c r="D41" s="270"/>
      <c r="E41" s="208"/>
      <c r="F41" s="208"/>
      <c r="G41" s="208"/>
      <c r="H41" s="209"/>
      <c r="I41" s="210"/>
      <c r="J41" s="210"/>
      <c r="K41" s="260"/>
      <c r="L41" s="260"/>
      <c r="M41" s="260"/>
      <c r="N41" s="260"/>
      <c r="O41" s="260"/>
      <c r="P41" s="211"/>
      <c r="Q41" s="261"/>
      <c r="R41" s="208" t="str">
        <f ca="1">IF(ISERROR($V41),"",OFFSET('Smelter Look-up'!$C$4,$V41-4,0)&amp;"")</f>
        <v/>
      </c>
      <c r="S41" s="215" t="str">
        <f t="shared" ca="1" si="6"/>
        <v/>
      </c>
      <c r="T41" s="215" t="str">
        <f ca="1">IF(B41="","",IF(ISERROR(MATCH($J41,SorP!$B$1:$B$6230,0)),"",INDIRECT("'SorP'!$A$"&amp;MATCH($J41,SorP!$B$1:$B$6230,0))))</f>
        <v/>
      </c>
      <c r="U41" s="231"/>
      <c r="V41" s="262" t="e">
        <f>IF(C41="",NA(),IF(OR(C41="Smelter not listed",C41="Smelter not yet identified"),MATCH($B41&amp;$D41,'Smelter Look-up'!$J:$J,0),MATCH($B41&amp;$C41,'Smelter Look-up'!$J:$J,0)))</f>
        <v>#N/A</v>
      </c>
      <c r="W41" s="263"/>
      <c r="X41" s="263">
        <f t="shared" si="7"/>
        <v>0</v>
      </c>
      <c r="Y41" s="263"/>
      <c r="Z41" s="263"/>
      <c r="AB41" s="265" t="str">
        <f t="shared" si="8"/>
        <v/>
      </c>
    </row>
    <row r="42" spans="1:28" s="264" customFormat="1" ht="20.399999999999999">
      <c r="A42" s="207"/>
      <c r="B42" s="208"/>
      <c r="C42" s="212"/>
      <c r="D42" s="270"/>
      <c r="E42" s="208"/>
      <c r="F42" s="208"/>
      <c r="G42" s="208"/>
      <c r="H42" s="209"/>
      <c r="I42" s="210"/>
      <c r="J42" s="210"/>
      <c r="K42" s="260"/>
      <c r="L42" s="260"/>
      <c r="M42" s="260"/>
      <c r="N42" s="260"/>
      <c r="O42" s="260"/>
      <c r="P42" s="211"/>
      <c r="Q42" s="261"/>
      <c r="R42" s="208" t="str">
        <f ca="1">IF(ISERROR($V42),"",OFFSET('Smelter Look-up'!$C$4,$V42-4,0)&amp;"")</f>
        <v/>
      </c>
      <c r="S42" s="215" t="str">
        <f t="shared" ca="1" si="6"/>
        <v/>
      </c>
      <c r="T42" s="215" t="str">
        <f ca="1">IF(B42="","",IF(ISERROR(MATCH($J42,SorP!$B$1:$B$6230,0)),"",INDIRECT("'SorP'!$A$"&amp;MATCH($J42,SorP!$B$1:$B$6230,0))))</f>
        <v/>
      </c>
      <c r="U42" s="231"/>
      <c r="V42" s="262" t="e">
        <f>IF(C42="",NA(),IF(OR(C42="Smelter not listed",C42="Smelter not yet identified"),MATCH($B42&amp;$D42,'Smelter Look-up'!$J:$J,0),MATCH($B42&amp;$C42,'Smelter Look-up'!$J:$J,0)))</f>
        <v>#N/A</v>
      </c>
      <c r="W42" s="263"/>
      <c r="X42" s="263">
        <f t="shared" si="7"/>
        <v>0</v>
      </c>
      <c r="Y42" s="263"/>
      <c r="Z42" s="263"/>
      <c r="AB42" s="265" t="str">
        <f t="shared" si="8"/>
        <v/>
      </c>
    </row>
    <row r="43" spans="1:28" s="264" customFormat="1" ht="20.399999999999999">
      <c r="A43" s="207"/>
      <c r="B43" s="208"/>
      <c r="C43" s="212"/>
      <c r="D43" s="270"/>
      <c r="E43" s="208"/>
      <c r="F43" s="208"/>
      <c r="G43" s="208"/>
      <c r="H43" s="209"/>
      <c r="I43" s="210"/>
      <c r="J43" s="210"/>
      <c r="K43" s="260"/>
      <c r="L43" s="260"/>
      <c r="M43" s="260"/>
      <c r="N43" s="260"/>
      <c r="O43" s="260"/>
      <c r="P43" s="211"/>
      <c r="Q43" s="261"/>
      <c r="R43" s="208" t="str">
        <f ca="1">IF(ISERROR($V43),"",OFFSET('Smelter Look-up'!$C$4,$V43-4,0)&amp;"")</f>
        <v/>
      </c>
      <c r="S43" s="215" t="str">
        <f t="shared" ca="1" si="6"/>
        <v/>
      </c>
      <c r="T43" s="215" t="str">
        <f ca="1">IF(B43="","",IF(ISERROR(MATCH($J43,SorP!$B$1:$B$6230,0)),"",INDIRECT("'SorP'!$A$"&amp;MATCH($J43,SorP!$B$1:$B$6230,0))))</f>
        <v/>
      </c>
      <c r="U43" s="231"/>
      <c r="V43" s="262" t="e">
        <f>IF(C43="",NA(),IF(OR(C43="Smelter not listed",C43="Smelter not yet identified"),MATCH($B43&amp;$D43,'Smelter Look-up'!$J:$J,0),MATCH($B43&amp;$C43,'Smelter Look-up'!$J:$J,0)))</f>
        <v>#N/A</v>
      </c>
      <c r="W43" s="263"/>
      <c r="X43" s="263">
        <f t="shared" si="7"/>
        <v>0</v>
      </c>
      <c r="Y43" s="263"/>
      <c r="Z43" s="263"/>
      <c r="AB43" s="265" t="str">
        <f t="shared" si="8"/>
        <v/>
      </c>
    </row>
    <row r="44" spans="1:28" s="264" customFormat="1" ht="20.399999999999999">
      <c r="A44" s="207"/>
      <c r="B44" s="208"/>
      <c r="C44" s="212"/>
      <c r="D44" s="270"/>
      <c r="E44" s="208"/>
      <c r="F44" s="208"/>
      <c r="G44" s="208"/>
      <c r="H44" s="209"/>
      <c r="I44" s="210"/>
      <c r="J44" s="210"/>
      <c r="K44" s="260"/>
      <c r="L44" s="260"/>
      <c r="M44" s="260"/>
      <c r="N44" s="260"/>
      <c r="O44" s="260"/>
      <c r="P44" s="211"/>
      <c r="Q44" s="261"/>
      <c r="R44" s="208" t="str">
        <f ca="1">IF(ISERROR($V44),"",OFFSET('Smelter Look-up'!$C$4,$V44-4,0)&amp;"")</f>
        <v/>
      </c>
      <c r="S44" s="215" t="str">
        <f t="shared" ca="1" si="6"/>
        <v/>
      </c>
      <c r="T44" s="215" t="str">
        <f ca="1">IF(B44="","",IF(ISERROR(MATCH($J44,SorP!$B$1:$B$6230,0)),"",INDIRECT("'SorP'!$A$"&amp;MATCH($J44,SorP!$B$1:$B$6230,0))))</f>
        <v/>
      </c>
      <c r="U44" s="231"/>
      <c r="V44" s="262" t="e">
        <f>IF(C44="",NA(),IF(OR(C44="Smelter not listed",C44="Smelter not yet identified"),MATCH($B44&amp;$D44,'Smelter Look-up'!$J:$J,0),MATCH($B44&amp;$C44,'Smelter Look-up'!$J:$J,0)))</f>
        <v>#N/A</v>
      </c>
      <c r="W44" s="263"/>
      <c r="X44" s="263">
        <f t="shared" si="7"/>
        <v>0</v>
      </c>
      <c r="Y44" s="263"/>
      <c r="Z44" s="263"/>
      <c r="AB44" s="265" t="str">
        <f t="shared" si="8"/>
        <v/>
      </c>
    </row>
    <row r="45" spans="1:28" s="264" customFormat="1" ht="20.399999999999999">
      <c r="A45" s="207"/>
      <c r="B45" s="208"/>
      <c r="C45" s="212"/>
      <c r="D45" s="270"/>
      <c r="E45" s="208"/>
      <c r="F45" s="208"/>
      <c r="G45" s="208"/>
      <c r="H45" s="209"/>
      <c r="I45" s="210"/>
      <c r="J45" s="210"/>
      <c r="K45" s="260"/>
      <c r="L45" s="260"/>
      <c r="M45" s="260"/>
      <c r="N45" s="260"/>
      <c r="O45" s="260"/>
      <c r="P45" s="211"/>
      <c r="Q45" s="261"/>
      <c r="R45" s="208" t="str">
        <f ca="1">IF(ISERROR($V45),"",OFFSET('Smelter Look-up'!$C$4,$V45-4,0)&amp;"")</f>
        <v/>
      </c>
      <c r="S45" s="215" t="str">
        <f t="shared" ca="1" si="6"/>
        <v/>
      </c>
      <c r="T45" s="215" t="str">
        <f ca="1">IF(B45="","",IF(ISERROR(MATCH($J45,SorP!$B$1:$B$6230,0)),"",INDIRECT("'SorP'!$A$"&amp;MATCH($J45,SorP!$B$1:$B$6230,0))))</f>
        <v/>
      </c>
      <c r="U45" s="231"/>
      <c r="V45" s="262" t="e">
        <f>IF(C45="",NA(),IF(OR(C45="Smelter not listed",C45="Smelter not yet identified"),MATCH($B45&amp;$D45,'Smelter Look-up'!$J:$J,0),MATCH($B45&amp;$C45,'Smelter Look-up'!$J:$J,0)))</f>
        <v>#N/A</v>
      </c>
      <c r="W45" s="263"/>
      <c r="X45" s="263">
        <f t="shared" si="7"/>
        <v>0</v>
      </c>
      <c r="Y45" s="263"/>
      <c r="Z45" s="263"/>
      <c r="AB45" s="265" t="str">
        <f t="shared" si="8"/>
        <v/>
      </c>
    </row>
    <row r="46" spans="1:28" s="264" customFormat="1" ht="20.399999999999999">
      <c r="A46" s="207"/>
      <c r="B46" s="208"/>
      <c r="C46" s="212"/>
      <c r="D46" s="270"/>
      <c r="E46" s="208"/>
      <c r="F46" s="208"/>
      <c r="G46" s="208"/>
      <c r="H46" s="209"/>
      <c r="I46" s="210"/>
      <c r="J46" s="210"/>
      <c r="K46" s="260"/>
      <c r="L46" s="260"/>
      <c r="M46" s="260"/>
      <c r="N46" s="260"/>
      <c r="O46" s="260"/>
      <c r="P46" s="211"/>
      <c r="Q46" s="261"/>
      <c r="R46" s="208" t="str">
        <f ca="1">IF(ISERROR($V46),"",OFFSET('Smelter Look-up'!$C$4,$V46-4,0)&amp;"")</f>
        <v/>
      </c>
      <c r="S46" s="215" t="str">
        <f t="shared" ca="1" si="6"/>
        <v/>
      </c>
      <c r="T46" s="215" t="str">
        <f ca="1">IF(B46="","",IF(ISERROR(MATCH($J46,SorP!$B$1:$B$6230,0)),"",INDIRECT("'SorP'!$A$"&amp;MATCH($J46,SorP!$B$1:$B$6230,0))))</f>
        <v/>
      </c>
      <c r="U46" s="231"/>
      <c r="V46" s="262" t="e">
        <f>IF(C46="",NA(),IF(OR(C46="Smelter not listed",C46="Smelter not yet identified"),MATCH($B46&amp;$D46,'Smelter Look-up'!$J:$J,0),MATCH($B46&amp;$C46,'Smelter Look-up'!$J:$J,0)))</f>
        <v>#N/A</v>
      </c>
      <c r="W46" s="263"/>
      <c r="X46" s="263">
        <f t="shared" si="7"/>
        <v>0</v>
      </c>
      <c r="Y46" s="263"/>
      <c r="Z46" s="263"/>
      <c r="AB46" s="265" t="str">
        <f t="shared" si="8"/>
        <v/>
      </c>
    </row>
    <row r="47" spans="1:28" s="264" customFormat="1" ht="20.399999999999999">
      <c r="A47" s="207"/>
      <c r="B47" s="208"/>
      <c r="C47" s="212"/>
      <c r="D47" s="270"/>
      <c r="E47" s="208"/>
      <c r="F47" s="208"/>
      <c r="G47" s="208"/>
      <c r="H47" s="209"/>
      <c r="I47" s="210"/>
      <c r="J47" s="210"/>
      <c r="K47" s="260"/>
      <c r="L47" s="260"/>
      <c r="M47" s="260"/>
      <c r="N47" s="260"/>
      <c r="O47" s="260"/>
      <c r="P47" s="211"/>
      <c r="Q47" s="261"/>
      <c r="R47" s="208" t="str">
        <f ca="1">IF(ISERROR($V47),"",OFFSET('Smelter Look-up'!$C$4,$V47-4,0)&amp;"")</f>
        <v/>
      </c>
      <c r="S47" s="215" t="str">
        <f t="shared" ca="1" si="6"/>
        <v/>
      </c>
      <c r="T47" s="215" t="str">
        <f ca="1">IF(B47="","",IF(ISERROR(MATCH($J47,SorP!$B$1:$B$6230,0)),"",INDIRECT("'SorP'!$A$"&amp;MATCH($J47,SorP!$B$1:$B$6230,0))))</f>
        <v/>
      </c>
      <c r="U47" s="231"/>
      <c r="V47" s="262" t="e">
        <f>IF(C47="",NA(),IF(OR(C47="Smelter not listed",C47="Smelter not yet identified"),MATCH($B47&amp;$D47,'Smelter Look-up'!$J:$J,0),MATCH($B47&amp;$C47,'Smelter Look-up'!$J:$J,0)))</f>
        <v>#N/A</v>
      </c>
      <c r="W47" s="263"/>
      <c r="X47" s="263">
        <f t="shared" si="7"/>
        <v>0</v>
      </c>
      <c r="Y47" s="263"/>
      <c r="Z47" s="263"/>
      <c r="AB47" s="265" t="str">
        <f t="shared" si="8"/>
        <v/>
      </c>
    </row>
    <row r="48" spans="1:28" s="264" customFormat="1" ht="20.399999999999999">
      <c r="A48" s="207"/>
      <c r="B48" s="208"/>
      <c r="C48" s="212"/>
      <c r="D48" s="270"/>
      <c r="E48" s="208"/>
      <c r="F48" s="208"/>
      <c r="G48" s="208"/>
      <c r="H48" s="209"/>
      <c r="I48" s="210"/>
      <c r="J48" s="210"/>
      <c r="K48" s="260"/>
      <c r="L48" s="260"/>
      <c r="M48" s="260"/>
      <c r="N48" s="260"/>
      <c r="O48" s="260"/>
      <c r="P48" s="211"/>
      <c r="Q48" s="261"/>
      <c r="R48" s="208" t="str">
        <f ca="1">IF(ISERROR($V48),"",OFFSET('Smelter Look-up'!$C$4,$V48-4,0)&amp;"")</f>
        <v/>
      </c>
      <c r="S48" s="215" t="str">
        <f t="shared" ca="1" si="6"/>
        <v/>
      </c>
      <c r="T48" s="215" t="str">
        <f ca="1">IF(B48="","",IF(ISERROR(MATCH($J48,SorP!$B$1:$B$6230,0)),"",INDIRECT("'SorP'!$A$"&amp;MATCH($J48,SorP!$B$1:$B$6230,0))))</f>
        <v/>
      </c>
      <c r="U48" s="231"/>
      <c r="V48" s="262" t="e">
        <f>IF(C48="",NA(),IF(OR(C48="Smelter not listed",C48="Smelter not yet identified"),MATCH($B48&amp;$D48,'Smelter Look-up'!$J:$J,0),MATCH($B48&amp;$C48,'Smelter Look-up'!$J:$J,0)))</f>
        <v>#N/A</v>
      </c>
      <c r="W48" s="263"/>
      <c r="X48" s="263">
        <f t="shared" si="7"/>
        <v>0</v>
      </c>
      <c r="Y48" s="263"/>
      <c r="Z48" s="263"/>
      <c r="AB48" s="265" t="str">
        <f t="shared" si="8"/>
        <v/>
      </c>
    </row>
    <row r="49" spans="1:28" s="264" customFormat="1" ht="20.399999999999999">
      <c r="A49" s="207"/>
      <c r="B49" s="208"/>
      <c r="C49" s="212"/>
      <c r="D49" s="270"/>
      <c r="E49" s="208"/>
      <c r="F49" s="208"/>
      <c r="G49" s="208"/>
      <c r="H49" s="209"/>
      <c r="I49" s="210"/>
      <c r="J49" s="210"/>
      <c r="K49" s="260"/>
      <c r="L49" s="260"/>
      <c r="M49" s="260"/>
      <c r="N49" s="260"/>
      <c r="O49" s="260"/>
      <c r="P49" s="211"/>
      <c r="Q49" s="261"/>
      <c r="R49" s="208" t="str">
        <f ca="1">IF(ISERROR($V49),"",OFFSET('Smelter Look-up'!$C$4,$V49-4,0)&amp;"")</f>
        <v/>
      </c>
      <c r="S49" s="215" t="str">
        <f t="shared" ca="1" si="6"/>
        <v/>
      </c>
      <c r="T49" s="215" t="str">
        <f ca="1">IF(B49="","",IF(ISERROR(MATCH($J49,SorP!$B$1:$B$6230,0)),"",INDIRECT("'SorP'!$A$"&amp;MATCH($J49,SorP!$B$1:$B$6230,0))))</f>
        <v/>
      </c>
      <c r="U49" s="231"/>
      <c r="V49" s="262" t="e">
        <f>IF(C49="",NA(),IF(OR(C49="Smelter not listed",C49="Smelter not yet identified"),MATCH($B49&amp;$D49,'Smelter Look-up'!$J:$J,0),MATCH($B49&amp;$C49,'Smelter Look-up'!$J:$J,0)))</f>
        <v>#N/A</v>
      </c>
      <c r="W49" s="263"/>
      <c r="X49" s="263">
        <f t="shared" si="7"/>
        <v>0</v>
      </c>
      <c r="Y49" s="263"/>
      <c r="Z49" s="263"/>
      <c r="AB49" s="265" t="str">
        <f t="shared" si="8"/>
        <v/>
      </c>
    </row>
    <row r="50" spans="1:28" s="264" customFormat="1" ht="20.399999999999999">
      <c r="A50" s="207"/>
      <c r="B50" s="208"/>
      <c r="C50" s="212"/>
      <c r="D50" s="270"/>
      <c r="E50" s="208"/>
      <c r="F50" s="208"/>
      <c r="G50" s="208"/>
      <c r="H50" s="209"/>
      <c r="I50" s="210"/>
      <c r="J50" s="210"/>
      <c r="K50" s="260"/>
      <c r="L50" s="260"/>
      <c r="M50" s="260"/>
      <c r="N50" s="260"/>
      <c r="O50" s="260"/>
      <c r="P50" s="211"/>
      <c r="Q50" s="261"/>
      <c r="R50" s="208" t="str">
        <f ca="1">IF(ISERROR($V50),"",OFFSET('Smelter Look-up'!$C$4,$V50-4,0)&amp;"")</f>
        <v/>
      </c>
      <c r="S50" s="215" t="str">
        <f t="shared" ca="1" si="6"/>
        <v/>
      </c>
      <c r="T50" s="215" t="str">
        <f ca="1">IF(B50="","",IF(ISERROR(MATCH($J50,SorP!$B$1:$B$6230,0)),"",INDIRECT("'SorP'!$A$"&amp;MATCH($J50,SorP!$B$1:$B$6230,0))))</f>
        <v/>
      </c>
      <c r="U50" s="231"/>
      <c r="V50" s="262" t="e">
        <f>IF(C50="",NA(),IF(OR(C50="Smelter not listed",C50="Smelter not yet identified"),MATCH($B50&amp;$D50,'Smelter Look-up'!$J:$J,0),MATCH($B50&amp;$C50,'Smelter Look-up'!$J:$J,0)))</f>
        <v>#N/A</v>
      </c>
      <c r="W50" s="263"/>
      <c r="X50" s="263">
        <f t="shared" si="7"/>
        <v>0</v>
      </c>
      <c r="Y50" s="263"/>
      <c r="Z50" s="263"/>
      <c r="AB50" s="265" t="str">
        <f t="shared" si="8"/>
        <v/>
      </c>
    </row>
    <row r="51" spans="1:28" s="264" customFormat="1" ht="20.399999999999999">
      <c r="A51" s="207"/>
      <c r="B51" s="208"/>
      <c r="C51" s="212"/>
      <c r="D51" s="270"/>
      <c r="E51" s="208"/>
      <c r="F51" s="208"/>
      <c r="G51" s="208"/>
      <c r="H51" s="209"/>
      <c r="I51" s="210"/>
      <c r="J51" s="210"/>
      <c r="K51" s="260"/>
      <c r="L51" s="260"/>
      <c r="M51" s="260"/>
      <c r="N51" s="260"/>
      <c r="O51" s="260"/>
      <c r="P51" s="211"/>
      <c r="Q51" s="261"/>
      <c r="R51" s="208" t="str">
        <f ca="1">IF(ISERROR($V51),"",OFFSET('Smelter Look-up'!$C$4,$V51-4,0)&amp;"")</f>
        <v/>
      </c>
      <c r="S51" s="215" t="str">
        <f t="shared" ca="1" si="6"/>
        <v/>
      </c>
      <c r="T51" s="215" t="str">
        <f ca="1">IF(B51="","",IF(ISERROR(MATCH($J51,SorP!$B$1:$B$6230,0)),"",INDIRECT("'SorP'!$A$"&amp;MATCH($J51,SorP!$B$1:$B$6230,0))))</f>
        <v/>
      </c>
      <c r="U51" s="231"/>
      <c r="V51" s="262" t="e">
        <f>IF(C51="",NA(),IF(OR(C51="Smelter not listed",C51="Smelter not yet identified"),MATCH($B51&amp;$D51,'Smelter Look-up'!$J:$J,0),MATCH($B51&amp;$C51,'Smelter Look-up'!$J:$J,0)))</f>
        <v>#N/A</v>
      </c>
      <c r="W51" s="263"/>
      <c r="X51" s="263">
        <f t="shared" si="7"/>
        <v>0</v>
      </c>
      <c r="Y51" s="263"/>
      <c r="Z51" s="263"/>
      <c r="AB51" s="265" t="str">
        <f t="shared" si="8"/>
        <v/>
      </c>
    </row>
    <row r="52" spans="1:28" s="264" customFormat="1" ht="20.399999999999999">
      <c r="A52" s="207"/>
      <c r="B52" s="208"/>
      <c r="C52" s="212"/>
      <c r="D52" s="270"/>
      <c r="E52" s="208"/>
      <c r="F52" s="208"/>
      <c r="G52" s="208"/>
      <c r="H52" s="209"/>
      <c r="I52" s="210"/>
      <c r="J52" s="210"/>
      <c r="K52" s="260"/>
      <c r="L52" s="260"/>
      <c r="M52" s="260"/>
      <c r="N52" s="260"/>
      <c r="O52" s="260"/>
      <c r="P52" s="211"/>
      <c r="Q52" s="261"/>
      <c r="R52" s="208" t="str">
        <f ca="1">IF(ISERROR($V52),"",OFFSET('Smelter Look-up'!$C$4,$V52-4,0)&amp;"")</f>
        <v/>
      </c>
      <c r="S52" s="215" t="str">
        <f t="shared" ca="1" si="6"/>
        <v/>
      </c>
      <c r="T52" s="215" t="str">
        <f ca="1">IF(B52="","",IF(ISERROR(MATCH($J52,SorP!$B$1:$B$6230,0)),"",INDIRECT("'SorP'!$A$"&amp;MATCH($J52,SorP!$B$1:$B$6230,0))))</f>
        <v/>
      </c>
      <c r="U52" s="231"/>
      <c r="V52" s="262" t="e">
        <f>IF(C52="",NA(),IF(OR(C52="Smelter not listed",C52="Smelter not yet identified"),MATCH($B52&amp;$D52,'Smelter Look-up'!$J:$J,0),MATCH($B52&amp;$C52,'Smelter Look-up'!$J:$J,0)))</f>
        <v>#N/A</v>
      </c>
      <c r="W52" s="263"/>
      <c r="X52" s="263">
        <f t="shared" si="7"/>
        <v>0</v>
      </c>
      <c r="Y52" s="263"/>
      <c r="Z52" s="263"/>
      <c r="AB52" s="265" t="str">
        <f t="shared" si="8"/>
        <v/>
      </c>
    </row>
    <row r="53" spans="1:28" s="264" customFormat="1" ht="20.399999999999999">
      <c r="A53" s="207"/>
      <c r="B53" s="208"/>
      <c r="C53" s="212"/>
      <c r="D53" s="270"/>
      <c r="E53" s="208"/>
      <c r="F53" s="208"/>
      <c r="G53" s="208"/>
      <c r="H53" s="209"/>
      <c r="I53" s="210"/>
      <c r="J53" s="210"/>
      <c r="K53" s="260"/>
      <c r="L53" s="260"/>
      <c r="M53" s="260"/>
      <c r="N53" s="260"/>
      <c r="O53" s="260"/>
      <c r="P53" s="211"/>
      <c r="Q53" s="261"/>
      <c r="R53" s="208" t="str">
        <f ca="1">IF(ISERROR($V53),"",OFFSET('Smelter Look-up'!$C$4,$V53-4,0)&amp;"")</f>
        <v/>
      </c>
      <c r="S53" s="215" t="str">
        <f t="shared" ca="1" si="6"/>
        <v/>
      </c>
      <c r="T53" s="215" t="str">
        <f ca="1">IF(B53="","",IF(ISERROR(MATCH($J53,SorP!$B$1:$B$6230,0)),"",INDIRECT("'SorP'!$A$"&amp;MATCH($J53,SorP!$B$1:$B$6230,0))))</f>
        <v/>
      </c>
      <c r="U53" s="231"/>
      <c r="V53" s="262" t="e">
        <f>IF(C53="",NA(),IF(OR(C53="Smelter not listed",C53="Smelter not yet identified"),MATCH($B53&amp;$D53,'Smelter Look-up'!$J:$J,0),MATCH($B53&amp;$C53,'Smelter Look-up'!$J:$J,0)))</f>
        <v>#N/A</v>
      </c>
      <c r="W53" s="263"/>
      <c r="X53" s="263">
        <f t="shared" si="7"/>
        <v>0</v>
      </c>
      <c r="Y53" s="263"/>
      <c r="Z53" s="263"/>
      <c r="AB53" s="265" t="str">
        <f t="shared" si="8"/>
        <v/>
      </c>
    </row>
    <row r="54" spans="1:28" s="264" customFormat="1" ht="20.399999999999999">
      <c r="A54" s="207"/>
      <c r="B54" s="208"/>
      <c r="C54" s="212"/>
      <c r="D54" s="270"/>
      <c r="E54" s="208"/>
      <c r="F54" s="208"/>
      <c r="G54" s="208"/>
      <c r="H54" s="209"/>
      <c r="I54" s="210"/>
      <c r="J54" s="210"/>
      <c r="K54" s="260"/>
      <c r="L54" s="260"/>
      <c r="M54" s="260"/>
      <c r="N54" s="260"/>
      <c r="O54" s="260"/>
      <c r="P54" s="211"/>
      <c r="Q54" s="261"/>
      <c r="R54" s="208" t="str">
        <f ca="1">IF(ISERROR($V54),"",OFFSET('Smelter Look-up'!$C$4,$V54-4,0)&amp;"")</f>
        <v/>
      </c>
      <c r="S54" s="215" t="str">
        <f t="shared" ca="1" si="6"/>
        <v/>
      </c>
      <c r="T54" s="215" t="str">
        <f ca="1">IF(B54="","",IF(ISERROR(MATCH($J54,SorP!$B$1:$B$6230,0)),"",INDIRECT("'SorP'!$A$"&amp;MATCH($J54,SorP!$B$1:$B$6230,0))))</f>
        <v/>
      </c>
      <c r="U54" s="231"/>
      <c r="V54" s="262" t="e">
        <f>IF(C54="",NA(),IF(OR(C54="Smelter not listed",C54="Smelter not yet identified"),MATCH($B54&amp;$D54,'Smelter Look-up'!$J:$J,0),MATCH($B54&amp;$C54,'Smelter Look-up'!$J:$J,0)))</f>
        <v>#N/A</v>
      </c>
      <c r="W54" s="263"/>
      <c r="X54" s="263">
        <f t="shared" si="7"/>
        <v>0</v>
      </c>
      <c r="Y54" s="263"/>
      <c r="Z54" s="263"/>
      <c r="AB54" s="265" t="str">
        <f t="shared" si="8"/>
        <v/>
      </c>
    </row>
    <row r="55" spans="1:28" s="264" customFormat="1" ht="20.399999999999999">
      <c r="A55" s="207"/>
      <c r="B55" s="208"/>
      <c r="C55" s="212"/>
      <c r="D55" s="270"/>
      <c r="E55" s="208"/>
      <c r="F55" s="208"/>
      <c r="G55" s="208"/>
      <c r="H55" s="209"/>
      <c r="I55" s="210"/>
      <c r="J55" s="210"/>
      <c r="K55" s="260"/>
      <c r="L55" s="260"/>
      <c r="M55" s="260"/>
      <c r="N55" s="260"/>
      <c r="O55" s="260"/>
      <c r="P55" s="211"/>
      <c r="Q55" s="261"/>
      <c r="R55" s="208" t="str">
        <f ca="1">IF(ISERROR($V55),"",OFFSET('Smelter Look-up'!$C$4,$V55-4,0)&amp;"")</f>
        <v/>
      </c>
      <c r="S55" s="215" t="str">
        <f t="shared" ca="1" si="6"/>
        <v/>
      </c>
      <c r="T55" s="215" t="str">
        <f ca="1">IF(B55="","",IF(ISERROR(MATCH($J55,SorP!$B$1:$B$6230,0)),"",INDIRECT("'SorP'!$A$"&amp;MATCH($J55,SorP!$B$1:$B$6230,0))))</f>
        <v/>
      </c>
      <c r="U55" s="231"/>
      <c r="V55" s="262" t="e">
        <f>IF(C55="",NA(),IF(OR(C55="Smelter not listed",C55="Smelter not yet identified"),MATCH($B55&amp;$D55,'Smelter Look-up'!$J:$J,0),MATCH($B55&amp;$C55,'Smelter Look-up'!$J:$J,0)))</f>
        <v>#N/A</v>
      </c>
      <c r="W55" s="263"/>
      <c r="X55" s="263">
        <f t="shared" si="7"/>
        <v>0</v>
      </c>
      <c r="Y55" s="263"/>
      <c r="Z55" s="263"/>
      <c r="AB55" s="265" t="str">
        <f t="shared" si="8"/>
        <v/>
      </c>
    </row>
    <row r="56" spans="1:28" s="264" customFormat="1" ht="20.399999999999999">
      <c r="A56" s="207"/>
      <c r="B56" s="208"/>
      <c r="C56" s="212"/>
      <c r="D56" s="270"/>
      <c r="E56" s="208"/>
      <c r="F56" s="208"/>
      <c r="G56" s="208"/>
      <c r="H56" s="209"/>
      <c r="I56" s="210"/>
      <c r="J56" s="210"/>
      <c r="K56" s="260"/>
      <c r="L56" s="260"/>
      <c r="M56" s="260"/>
      <c r="N56" s="260"/>
      <c r="O56" s="260"/>
      <c r="P56" s="211"/>
      <c r="Q56" s="261"/>
      <c r="R56" s="208" t="str">
        <f ca="1">IF(ISERROR($V56),"",OFFSET('Smelter Look-up'!$C$4,$V56-4,0)&amp;"")</f>
        <v/>
      </c>
      <c r="S56" s="215" t="str">
        <f t="shared" ca="1" si="6"/>
        <v/>
      </c>
      <c r="T56" s="215" t="str">
        <f ca="1">IF(B56="","",IF(ISERROR(MATCH($J56,SorP!$B$1:$B$6230,0)),"",INDIRECT("'SorP'!$A$"&amp;MATCH($J56,SorP!$B$1:$B$6230,0))))</f>
        <v/>
      </c>
      <c r="U56" s="231"/>
      <c r="V56" s="262" t="e">
        <f>IF(C56="",NA(),IF(OR(C56="Smelter not listed",C56="Smelter not yet identified"),MATCH($B56&amp;$D56,'Smelter Look-up'!$J:$J,0),MATCH($B56&amp;$C56,'Smelter Look-up'!$J:$J,0)))</f>
        <v>#N/A</v>
      </c>
      <c r="W56" s="263"/>
      <c r="X56" s="263">
        <f t="shared" si="7"/>
        <v>0</v>
      </c>
      <c r="Y56" s="263"/>
      <c r="Z56" s="263"/>
      <c r="AB56" s="265" t="str">
        <f t="shared" si="8"/>
        <v/>
      </c>
    </row>
    <row r="57" spans="1:28" s="264" customFormat="1" ht="20.399999999999999">
      <c r="A57" s="207"/>
      <c r="B57" s="208"/>
      <c r="C57" s="212"/>
      <c r="D57" s="270"/>
      <c r="E57" s="208"/>
      <c r="F57" s="208"/>
      <c r="G57" s="208"/>
      <c r="H57" s="209"/>
      <c r="I57" s="210"/>
      <c r="J57" s="210"/>
      <c r="K57" s="260"/>
      <c r="L57" s="260"/>
      <c r="M57" s="260"/>
      <c r="N57" s="260"/>
      <c r="O57" s="260"/>
      <c r="P57" s="211"/>
      <c r="Q57" s="261"/>
      <c r="R57" s="208" t="str">
        <f ca="1">IF(ISERROR($V57),"",OFFSET('Smelter Look-up'!$C$4,$V57-4,0)&amp;"")</f>
        <v/>
      </c>
      <c r="S57" s="215" t="str">
        <f t="shared" ca="1" si="6"/>
        <v/>
      </c>
      <c r="T57" s="215" t="str">
        <f ca="1">IF(B57="","",IF(ISERROR(MATCH($J57,SorP!$B$1:$B$6230,0)),"",INDIRECT("'SorP'!$A$"&amp;MATCH($J57,SorP!$B$1:$B$6230,0))))</f>
        <v/>
      </c>
      <c r="U57" s="231"/>
      <c r="V57" s="262" t="e">
        <f>IF(C57="",NA(),IF(OR(C57="Smelter not listed",C57="Smelter not yet identified"),MATCH($B57&amp;$D57,'Smelter Look-up'!$J:$J,0),MATCH($B57&amp;$C57,'Smelter Look-up'!$J:$J,0)))</f>
        <v>#N/A</v>
      </c>
      <c r="W57" s="263"/>
      <c r="X57" s="263">
        <f t="shared" si="7"/>
        <v>0</v>
      </c>
      <c r="Y57" s="263"/>
      <c r="Z57" s="263"/>
      <c r="AB57" s="265" t="str">
        <f t="shared" si="8"/>
        <v/>
      </c>
    </row>
    <row r="58" spans="1:28" s="264" customFormat="1" ht="20.399999999999999">
      <c r="A58" s="207"/>
      <c r="B58" s="208"/>
      <c r="C58" s="212"/>
      <c r="D58" s="270"/>
      <c r="E58" s="208"/>
      <c r="F58" s="208"/>
      <c r="G58" s="208"/>
      <c r="H58" s="209"/>
      <c r="I58" s="210"/>
      <c r="J58" s="210"/>
      <c r="K58" s="260"/>
      <c r="L58" s="260"/>
      <c r="M58" s="260"/>
      <c r="N58" s="260"/>
      <c r="O58" s="260"/>
      <c r="P58" s="211"/>
      <c r="Q58" s="261"/>
      <c r="R58" s="208" t="str">
        <f ca="1">IF(ISERROR($V58),"",OFFSET('Smelter Look-up'!$C$4,$V58-4,0)&amp;"")</f>
        <v/>
      </c>
      <c r="S58" s="215" t="str">
        <f t="shared" ca="1" si="6"/>
        <v/>
      </c>
      <c r="T58" s="215" t="str">
        <f ca="1">IF(B58="","",IF(ISERROR(MATCH($J58,SorP!$B$1:$B$6230,0)),"",INDIRECT("'SorP'!$A$"&amp;MATCH($J58,SorP!$B$1:$B$6230,0))))</f>
        <v/>
      </c>
      <c r="U58" s="231"/>
      <c r="V58" s="262" t="e">
        <f>IF(C58="",NA(),IF(OR(C58="Smelter not listed",C58="Smelter not yet identified"),MATCH($B58&amp;$D58,'Smelter Look-up'!$J:$J,0),MATCH($B58&amp;$C58,'Smelter Look-up'!$J:$J,0)))</f>
        <v>#N/A</v>
      </c>
      <c r="W58" s="263"/>
      <c r="X58" s="263">
        <f t="shared" si="7"/>
        <v>0</v>
      </c>
      <c r="Y58" s="263"/>
      <c r="Z58" s="263"/>
      <c r="AB58" s="265" t="str">
        <f t="shared" si="8"/>
        <v/>
      </c>
    </row>
    <row r="59" spans="1:28" s="264" customFormat="1" ht="20.399999999999999">
      <c r="A59" s="207"/>
      <c r="B59" s="208"/>
      <c r="C59" s="212"/>
      <c r="D59" s="270"/>
      <c r="E59" s="208"/>
      <c r="F59" s="208"/>
      <c r="G59" s="208"/>
      <c r="H59" s="209"/>
      <c r="I59" s="210"/>
      <c r="J59" s="210"/>
      <c r="K59" s="260"/>
      <c r="L59" s="260"/>
      <c r="M59" s="260"/>
      <c r="N59" s="260"/>
      <c r="O59" s="260"/>
      <c r="P59" s="211"/>
      <c r="Q59" s="261"/>
      <c r="R59" s="208" t="str">
        <f ca="1">IF(ISERROR($V59),"",OFFSET('Smelter Look-up'!$C$4,$V59-4,0)&amp;"")</f>
        <v/>
      </c>
      <c r="S59" s="215" t="str">
        <f t="shared" ca="1" si="6"/>
        <v/>
      </c>
      <c r="T59" s="215" t="str">
        <f ca="1">IF(B59="","",IF(ISERROR(MATCH($J59,SorP!$B$1:$B$6230,0)),"",INDIRECT("'SorP'!$A$"&amp;MATCH($J59,SorP!$B$1:$B$6230,0))))</f>
        <v/>
      </c>
      <c r="U59" s="231"/>
      <c r="V59" s="262" t="e">
        <f>IF(C59="",NA(),IF(OR(C59="Smelter not listed",C59="Smelter not yet identified"),MATCH($B59&amp;$D59,'Smelter Look-up'!$J:$J,0),MATCH($B59&amp;$C59,'Smelter Look-up'!$J:$J,0)))</f>
        <v>#N/A</v>
      </c>
      <c r="W59" s="263"/>
      <c r="X59" s="263">
        <f t="shared" si="7"/>
        <v>0</v>
      </c>
      <c r="Y59" s="263"/>
      <c r="Z59" s="263"/>
      <c r="AB59" s="265" t="str">
        <f t="shared" si="8"/>
        <v/>
      </c>
    </row>
    <row r="60" spans="1:28" s="264" customFormat="1" ht="20.399999999999999">
      <c r="A60" s="207"/>
      <c r="B60" s="208"/>
      <c r="C60" s="212"/>
      <c r="D60" s="270"/>
      <c r="E60" s="208"/>
      <c r="F60" s="208"/>
      <c r="G60" s="208"/>
      <c r="H60" s="209"/>
      <c r="I60" s="210"/>
      <c r="J60" s="210"/>
      <c r="K60" s="260"/>
      <c r="L60" s="260"/>
      <c r="M60" s="260"/>
      <c r="N60" s="260"/>
      <c r="O60" s="260"/>
      <c r="P60" s="211"/>
      <c r="Q60" s="261"/>
      <c r="R60" s="208" t="str">
        <f ca="1">IF(ISERROR($V60),"",OFFSET('Smelter Look-up'!$C$4,$V60-4,0)&amp;"")</f>
        <v/>
      </c>
      <c r="S60" s="215" t="str">
        <f t="shared" ca="1" si="6"/>
        <v/>
      </c>
      <c r="T60" s="215" t="str">
        <f ca="1">IF(B60="","",IF(ISERROR(MATCH($J60,SorP!$B$1:$B$6230,0)),"",INDIRECT("'SorP'!$A$"&amp;MATCH($J60,SorP!$B$1:$B$6230,0))))</f>
        <v/>
      </c>
      <c r="U60" s="231"/>
      <c r="V60" s="262" t="e">
        <f>IF(C60="",NA(),IF(OR(C60="Smelter not listed",C60="Smelter not yet identified"),MATCH($B60&amp;$D60,'Smelter Look-up'!$J:$J,0),MATCH($B60&amp;$C60,'Smelter Look-up'!$J:$J,0)))</f>
        <v>#N/A</v>
      </c>
      <c r="W60" s="263"/>
      <c r="X60" s="263">
        <f t="shared" si="7"/>
        <v>0</v>
      </c>
      <c r="Y60" s="263"/>
      <c r="Z60" s="263"/>
      <c r="AB60" s="265" t="str">
        <f t="shared" si="8"/>
        <v/>
      </c>
    </row>
    <row r="61" spans="1:28" s="264" customFormat="1" ht="20.399999999999999">
      <c r="A61" s="207"/>
      <c r="B61" s="208"/>
      <c r="C61" s="212"/>
      <c r="D61" s="270"/>
      <c r="E61" s="208"/>
      <c r="F61" s="208"/>
      <c r="G61" s="208"/>
      <c r="H61" s="209"/>
      <c r="I61" s="210"/>
      <c r="J61" s="210"/>
      <c r="K61" s="260"/>
      <c r="L61" s="260"/>
      <c r="M61" s="260"/>
      <c r="N61" s="260"/>
      <c r="O61" s="260"/>
      <c r="P61" s="211"/>
      <c r="Q61" s="261"/>
      <c r="R61" s="208" t="str">
        <f ca="1">IF(ISERROR($V61),"",OFFSET('Smelter Look-up'!$C$4,$V61-4,0)&amp;"")</f>
        <v/>
      </c>
      <c r="S61" s="215" t="str">
        <f t="shared" ca="1" si="6"/>
        <v/>
      </c>
      <c r="T61" s="215" t="str">
        <f ca="1">IF(B61="","",IF(ISERROR(MATCH($J61,SorP!$B$1:$B$6230,0)),"",INDIRECT("'SorP'!$A$"&amp;MATCH($J61,SorP!$B$1:$B$6230,0))))</f>
        <v/>
      </c>
      <c r="U61" s="231"/>
      <c r="V61" s="262" t="e">
        <f>IF(C61="",NA(),IF(OR(C61="Smelter not listed",C61="Smelter not yet identified"),MATCH($B61&amp;$D61,'Smelter Look-up'!$J:$J,0),MATCH($B61&amp;$C61,'Smelter Look-up'!$J:$J,0)))</f>
        <v>#N/A</v>
      </c>
      <c r="W61" s="263"/>
      <c r="X61" s="263">
        <f t="shared" si="7"/>
        <v>0</v>
      </c>
      <c r="Y61" s="263"/>
      <c r="Z61" s="263"/>
      <c r="AB61" s="265" t="str">
        <f t="shared" si="8"/>
        <v/>
      </c>
    </row>
    <row r="62" spans="1:28" s="264" customFormat="1" ht="20.399999999999999">
      <c r="A62" s="207"/>
      <c r="B62" s="208"/>
      <c r="C62" s="212"/>
      <c r="D62" s="270"/>
      <c r="E62" s="208"/>
      <c r="F62" s="208"/>
      <c r="G62" s="208"/>
      <c r="H62" s="209"/>
      <c r="I62" s="210"/>
      <c r="J62" s="210"/>
      <c r="K62" s="260"/>
      <c r="L62" s="260"/>
      <c r="M62" s="260"/>
      <c r="N62" s="260"/>
      <c r="O62" s="260"/>
      <c r="P62" s="211"/>
      <c r="Q62" s="261"/>
      <c r="R62" s="208" t="str">
        <f ca="1">IF(ISERROR($V62),"",OFFSET('Smelter Look-up'!$C$4,$V62-4,0)&amp;"")</f>
        <v/>
      </c>
      <c r="S62" s="215" t="str">
        <f t="shared" ca="1" si="6"/>
        <v/>
      </c>
      <c r="T62" s="215" t="str">
        <f ca="1">IF(B62="","",IF(ISERROR(MATCH($J62,SorP!$B$1:$B$6230,0)),"",INDIRECT("'SorP'!$A$"&amp;MATCH($J62,SorP!$B$1:$B$6230,0))))</f>
        <v/>
      </c>
      <c r="U62" s="231"/>
      <c r="V62" s="262" t="e">
        <f>IF(C62="",NA(),IF(OR(C62="Smelter not listed",C62="Smelter not yet identified"),MATCH($B62&amp;$D62,'Smelter Look-up'!$J:$J,0),MATCH($B62&amp;$C62,'Smelter Look-up'!$J:$J,0)))</f>
        <v>#N/A</v>
      </c>
      <c r="W62" s="263"/>
      <c r="X62" s="263">
        <f t="shared" si="7"/>
        <v>0</v>
      </c>
      <c r="Y62" s="263"/>
      <c r="Z62" s="263"/>
      <c r="AB62" s="265" t="str">
        <f t="shared" si="8"/>
        <v/>
      </c>
    </row>
    <row r="63" spans="1:28" s="264" customFormat="1" ht="20.399999999999999">
      <c r="A63" s="207"/>
      <c r="B63" s="208"/>
      <c r="C63" s="212"/>
      <c r="D63" s="270"/>
      <c r="E63" s="208"/>
      <c r="F63" s="208"/>
      <c r="G63" s="208"/>
      <c r="H63" s="209"/>
      <c r="I63" s="210"/>
      <c r="J63" s="210"/>
      <c r="K63" s="260"/>
      <c r="L63" s="260"/>
      <c r="M63" s="260"/>
      <c r="N63" s="260"/>
      <c r="O63" s="260"/>
      <c r="P63" s="211"/>
      <c r="Q63" s="261"/>
      <c r="R63" s="208" t="str">
        <f ca="1">IF(ISERROR($V63),"",OFFSET('Smelter Look-up'!$C$4,$V63-4,0)&amp;"")</f>
        <v/>
      </c>
      <c r="S63" s="215" t="str">
        <f t="shared" ca="1" si="6"/>
        <v/>
      </c>
      <c r="T63" s="215" t="str">
        <f ca="1">IF(B63="","",IF(ISERROR(MATCH($J63,SorP!$B$1:$B$6230,0)),"",INDIRECT("'SorP'!$A$"&amp;MATCH($J63,SorP!$B$1:$B$6230,0))))</f>
        <v/>
      </c>
      <c r="U63" s="231"/>
      <c r="V63" s="262" t="e">
        <f>IF(C63="",NA(),IF(OR(C63="Smelter not listed",C63="Smelter not yet identified"),MATCH($B63&amp;$D63,'Smelter Look-up'!$J:$J,0),MATCH($B63&amp;$C63,'Smelter Look-up'!$J:$J,0)))</f>
        <v>#N/A</v>
      </c>
      <c r="W63" s="263"/>
      <c r="X63" s="263">
        <f t="shared" si="7"/>
        <v>0</v>
      </c>
      <c r="Y63" s="263"/>
      <c r="Z63" s="263"/>
      <c r="AB63" s="265" t="str">
        <f t="shared" si="8"/>
        <v/>
      </c>
    </row>
    <row r="64" spans="1:28" s="264" customFormat="1" ht="20.399999999999999">
      <c r="A64" s="207"/>
      <c r="B64" s="208"/>
      <c r="C64" s="212"/>
      <c r="D64" s="270"/>
      <c r="E64" s="208"/>
      <c r="F64" s="208"/>
      <c r="G64" s="208"/>
      <c r="H64" s="209"/>
      <c r="I64" s="210"/>
      <c r="J64" s="210"/>
      <c r="K64" s="260"/>
      <c r="L64" s="260"/>
      <c r="M64" s="260"/>
      <c r="N64" s="260"/>
      <c r="O64" s="260"/>
      <c r="P64" s="211"/>
      <c r="Q64" s="261"/>
      <c r="R64" s="208" t="str">
        <f ca="1">IF(ISERROR($V64),"",OFFSET('Smelter Look-up'!$C$4,$V64-4,0)&amp;"")</f>
        <v/>
      </c>
      <c r="S64" s="215" t="str">
        <f t="shared" ca="1" si="6"/>
        <v/>
      </c>
      <c r="T64" s="215" t="str">
        <f ca="1">IF(B64="","",IF(ISERROR(MATCH($J64,SorP!$B$1:$B$6230,0)),"",INDIRECT("'SorP'!$A$"&amp;MATCH($J64,SorP!$B$1:$B$6230,0))))</f>
        <v/>
      </c>
      <c r="U64" s="231"/>
      <c r="V64" s="262" t="e">
        <f>IF(C64="",NA(),IF(OR(C64="Smelter not listed",C64="Smelter not yet identified"),MATCH($B64&amp;$D64,'Smelter Look-up'!$J:$J,0),MATCH($B64&amp;$C64,'Smelter Look-up'!$J:$J,0)))</f>
        <v>#N/A</v>
      </c>
      <c r="W64" s="263"/>
      <c r="X64" s="263">
        <f t="shared" si="7"/>
        <v>0</v>
      </c>
      <c r="Y64" s="263"/>
      <c r="Z64" s="263"/>
      <c r="AB64" s="265" t="str">
        <f t="shared" si="8"/>
        <v/>
      </c>
    </row>
    <row r="65" spans="1:28" s="264" customFormat="1" ht="20.399999999999999">
      <c r="A65" s="207"/>
      <c r="B65" s="208"/>
      <c r="C65" s="212"/>
      <c r="D65" s="270"/>
      <c r="E65" s="208"/>
      <c r="F65" s="208"/>
      <c r="G65" s="208"/>
      <c r="H65" s="209"/>
      <c r="I65" s="210"/>
      <c r="J65" s="210"/>
      <c r="K65" s="260"/>
      <c r="L65" s="260"/>
      <c r="M65" s="260"/>
      <c r="N65" s="260"/>
      <c r="O65" s="260"/>
      <c r="P65" s="211"/>
      <c r="Q65" s="261"/>
      <c r="R65" s="208" t="str">
        <f ca="1">IF(ISERROR($V65),"",OFFSET('Smelter Look-up'!$C$4,$V65-4,0)&amp;"")</f>
        <v/>
      </c>
      <c r="S65" s="215" t="str">
        <f t="shared" ca="1" si="6"/>
        <v/>
      </c>
      <c r="T65" s="215" t="str">
        <f ca="1">IF(B65="","",IF(ISERROR(MATCH($J65,SorP!$B$1:$B$6230,0)),"",INDIRECT("'SorP'!$A$"&amp;MATCH($J65,SorP!$B$1:$B$6230,0))))</f>
        <v/>
      </c>
      <c r="U65" s="231"/>
      <c r="V65" s="262" t="e">
        <f>IF(C65="",NA(),IF(OR(C65="Smelter not listed",C65="Smelter not yet identified"),MATCH($B65&amp;$D65,'Smelter Look-up'!$J:$J,0),MATCH($B65&amp;$C65,'Smelter Look-up'!$J:$J,0)))</f>
        <v>#N/A</v>
      </c>
      <c r="W65" s="263"/>
      <c r="X65" s="263">
        <f t="shared" si="7"/>
        <v>0</v>
      </c>
      <c r="Y65" s="263"/>
      <c r="Z65" s="263"/>
      <c r="AB65" s="265" t="str">
        <f t="shared" si="8"/>
        <v/>
      </c>
    </row>
    <row r="66" spans="1:28" s="264" customFormat="1" ht="20.399999999999999">
      <c r="A66" s="207"/>
      <c r="B66" s="208"/>
      <c r="C66" s="212"/>
      <c r="D66" s="270"/>
      <c r="E66" s="208"/>
      <c r="F66" s="208"/>
      <c r="G66" s="208"/>
      <c r="H66" s="209"/>
      <c r="I66" s="210"/>
      <c r="J66" s="210"/>
      <c r="K66" s="260"/>
      <c r="L66" s="260"/>
      <c r="M66" s="260"/>
      <c r="N66" s="260"/>
      <c r="O66" s="260"/>
      <c r="P66" s="211"/>
      <c r="Q66" s="261"/>
      <c r="R66" s="208" t="str">
        <f ca="1">IF(ISERROR($V66),"",OFFSET('Smelter Look-up'!$C$4,$V66-4,0)&amp;"")</f>
        <v/>
      </c>
      <c r="S66" s="215" t="str">
        <f t="shared" ca="1" si="6"/>
        <v/>
      </c>
      <c r="T66" s="215" t="str">
        <f ca="1">IF(B66="","",IF(ISERROR(MATCH($J66,SorP!$B$1:$B$6230,0)),"",INDIRECT("'SorP'!$A$"&amp;MATCH($J66,SorP!$B$1:$B$6230,0))))</f>
        <v/>
      </c>
      <c r="U66" s="231"/>
      <c r="V66" s="262" t="e">
        <f>IF(C66="",NA(),IF(OR(C66="Smelter not listed",C66="Smelter not yet identified"),MATCH($B66&amp;$D66,'Smelter Look-up'!$J:$J,0),MATCH($B66&amp;$C66,'Smelter Look-up'!$J:$J,0)))</f>
        <v>#N/A</v>
      </c>
      <c r="W66" s="263"/>
      <c r="X66" s="263">
        <f t="shared" si="7"/>
        <v>0</v>
      </c>
      <c r="Y66" s="263"/>
      <c r="Z66" s="263"/>
      <c r="AB66" s="265" t="str">
        <f t="shared" si="8"/>
        <v/>
      </c>
    </row>
    <row r="67" spans="1:28" s="264" customFormat="1" ht="20.399999999999999">
      <c r="A67" s="207"/>
      <c r="B67" s="208"/>
      <c r="C67" s="212"/>
      <c r="D67" s="270"/>
      <c r="E67" s="208"/>
      <c r="F67" s="208"/>
      <c r="G67" s="208"/>
      <c r="H67" s="209"/>
      <c r="I67" s="210"/>
      <c r="J67" s="210"/>
      <c r="K67" s="260"/>
      <c r="L67" s="260"/>
      <c r="M67" s="260"/>
      <c r="N67" s="260"/>
      <c r="O67" s="260"/>
      <c r="P67" s="211"/>
      <c r="Q67" s="261"/>
      <c r="R67" s="208" t="str">
        <f ca="1">IF(ISERROR($V67),"",OFFSET('Smelter Look-up'!$C$4,$V67-4,0)&amp;"")</f>
        <v/>
      </c>
      <c r="S67" s="215" t="str">
        <f t="shared" ca="1" si="6"/>
        <v/>
      </c>
      <c r="T67" s="215" t="str">
        <f ca="1">IF(B67="","",IF(ISERROR(MATCH($J67,SorP!$B$1:$B$6230,0)),"",INDIRECT("'SorP'!$A$"&amp;MATCH($J67,SorP!$B$1:$B$6230,0))))</f>
        <v/>
      </c>
      <c r="U67" s="231"/>
      <c r="V67" s="262" t="e">
        <f>IF(C67="",NA(),IF(OR(C67="Smelter not listed",C67="Smelter not yet identified"),MATCH($B67&amp;$D67,'Smelter Look-up'!$J:$J,0),MATCH($B67&amp;$C67,'Smelter Look-up'!$J:$J,0)))</f>
        <v>#N/A</v>
      </c>
      <c r="W67" s="263"/>
      <c r="X67" s="263">
        <f t="shared" si="7"/>
        <v>0</v>
      </c>
      <c r="Y67" s="263"/>
      <c r="Z67" s="263"/>
      <c r="AB67" s="265" t="str">
        <f t="shared" si="8"/>
        <v/>
      </c>
    </row>
    <row r="68" spans="1:28" s="264" customFormat="1" ht="20.399999999999999">
      <c r="A68" s="207"/>
      <c r="B68" s="208"/>
      <c r="C68" s="212"/>
      <c r="D68" s="270"/>
      <c r="E68" s="208"/>
      <c r="F68" s="208"/>
      <c r="G68" s="208"/>
      <c r="H68" s="209"/>
      <c r="I68" s="210"/>
      <c r="J68" s="210"/>
      <c r="K68" s="260"/>
      <c r="L68" s="260"/>
      <c r="M68" s="260"/>
      <c r="N68" s="260"/>
      <c r="O68" s="260"/>
      <c r="P68" s="211"/>
      <c r="Q68" s="261"/>
      <c r="R68" s="208" t="str">
        <f ca="1">IF(ISERROR($V68),"",OFFSET('Smelter Look-up'!$C$4,$V68-4,0)&amp;"")</f>
        <v/>
      </c>
      <c r="S68" s="215" t="str">
        <f t="shared" ca="1" si="6"/>
        <v/>
      </c>
      <c r="T68" s="215" t="str">
        <f ca="1">IF(B68="","",IF(ISERROR(MATCH($J68,SorP!$B$1:$B$6230,0)),"",INDIRECT("'SorP'!$A$"&amp;MATCH($J68,SorP!$B$1:$B$6230,0))))</f>
        <v/>
      </c>
      <c r="U68" s="231"/>
      <c r="V68" s="262" t="e">
        <f>IF(C68="",NA(),IF(OR(C68="Smelter not listed",C68="Smelter not yet identified"),MATCH($B68&amp;$D68,'Smelter Look-up'!$J:$J,0),MATCH($B68&amp;$C68,'Smelter Look-up'!$J:$J,0)))</f>
        <v>#N/A</v>
      </c>
      <c r="W68" s="263"/>
      <c r="X68" s="263">
        <f t="shared" si="7"/>
        <v>0</v>
      </c>
      <c r="Y68" s="263"/>
      <c r="Z68" s="263"/>
      <c r="AB68" s="265" t="str">
        <f t="shared" si="8"/>
        <v/>
      </c>
    </row>
    <row r="69" spans="1:28" s="264" customFormat="1" ht="20.399999999999999">
      <c r="A69" s="207"/>
      <c r="B69" s="208"/>
      <c r="C69" s="212"/>
      <c r="D69" s="270"/>
      <c r="E69" s="208"/>
      <c r="F69" s="208"/>
      <c r="G69" s="208"/>
      <c r="H69" s="209"/>
      <c r="I69" s="210"/>
      <c r="J69" s="210"/>
      <c r="K69" s="260"/>
      <c r="L69" s="260"/>
      <c r="M69" s="260"/>
      <c r="N69" s="260"/>
      <c r="O69" s="260"/>
      <c r="P69" s="211"/>
      <c r="Q69" s="261"/>
      <c r="R69" s="208" t="str">
        <f ca="1">IF(ISERROR($V69),"",OFFSET('Smelter Look-up'!$C$4,$V69-4,0)&amp;"")</f>
        <v/>
      </c>
      <c r="S69" s="215" t="str">
        <f t="shared" ref="S69" ca="1" si="9">IF(B69="","",IF(ISERROR(MATCH($E69,CL,0)),"Unknown",INDIRECT("'C'!$A$"&amp;MATCH($E69,CL,0)+1)))</f>
        <v/>
      </c>
      <c r="T69" s="215" t="str">
        <f ca="1">IF(B69="","",IF(ISERROR(MATCH($J69,SorP!$B$1:$B$6230,0)),"",INDIRECT("'SorP'!$A$"&amp;MATCH($J69,SorP!$B$1:$B$6230,0))))</f>
        <v/>
      </c>
      <c r="U69" s="231"/>
      <c r="V69" s="262" t="e">
        <f>IF(C69="",NA(),IF(OR(C69="Smelter not listed",C69="Smelter not yet identified"),MATCH($B69&amp;$D69,'Smelter Look-up'!$J:$J,0),MATCH($B69&amp;$C69,'Smelter Look-up'!$J:$J,0)))</f>
        <v>#N/A</v>
      </c>
      <c r="W69" s="263"/>
      <c r="X69" s="263">
        <f t="shared" ref="X69" si="10">IF(AND(C69="Smelter not listed",OR(LEN(D69)=0,LEN(E69)=0)),1,0)</f>
        <v>0</v>
      </c>
      <c r="Y69" s="263"/>
      <c r="Z69" s="263"/>
      <c r="AB69" s="265" t="str">
        <f t="shared" ref="AB69" si="11">B69&amp;C69</f>
        <v/>
      </c>
    </row>
    <row r="70" spans="1:28" s="264" customFormat="1" ht="20.399999999999999">
      <c r="A70" s="207"/>
      <c r="B70" s="208"/>
      <c r="C70" s="212"/>
      <c r="D70" s="270"/>
      <c r="E70" s="208"/>
      <c r="F70" s="208"/>
      <c r="G70" s="208"/>
      <c r="H70" s="209"/>
      <c r="I70" s="210"/>
      <c r="J70" s="210"/>
      <c r="K70" s="260"/>
      <c r="L70" s="260"/>
      <c r="M70" s="260"/>
      <c r="N70" s="260"/>
      <c r="O70" s="260"/>
      <c r="P70" s="211"/>
      <c r="Q70" s="261"/>
      <c r="R70" s="208" t="str">
        <f ca="1">IF(ISERROR($V70),"",OFFSET('Smelter Look-up'!$C$4,$V70-4,0)&amp;"")</f>
        <v/>
      </c>
      <c r="S70" s="215" t="str">
        <f t="shared" ref="S70:S101" ca="1" si="12">IF(B70="","",IF(ISERROR(MATCH($E70,CL,0)),"Unknown",INDIRECT("'C'!$A$"&amp;MATCH($E70,CL,0)+1)))</f>
        <v/>
      </c>
      <c r="T70" s="215" t="str">
        <f ca="1">IF(B70="","",IF(ISERROR(MATCH($J70,SorP!$B$1:$B$6230,0)),"",INDIRECT("'SorP'!$A$"&amp;MATCH($J70,SorP!$B$1:$B$6230,0))))</f>
        <v/>
      </c>
      <c r="U70" s="231"/>
      <c r="V70" s="262" t="e">
        <f>IF(C70="",NA(),IF(OR(C70="Smelter not listed",C70="Smelter not yet identified"),MATCH($B70&amp;$D70,'Smelter Look-up'!$J:$J,0),MATCH($B70&amp;$C70,'Smelter Look-up'!$J:$J,0)))</f>
        <v>#N/A</v>
      </c>
      <c r="W70" s="263"/>
      <c r="X70" s="263">
        <f t="shared" ref="X70:X101" si="13">IF(AND(C70="Smelter not listed",OR(LEN(D70)=0,LEN(E70)=0)),1,0)</f>
        <v>0</v>
      </c>
      <c r="Y70" s="263"/>
      <c r="Z70" s="263"/>
      <c r="AB70" s="265" t="str">
        <f t="shared" ref="AB70:AB101" si="14">B70&amp;C70</f>
        <v/>
      </c>
    </row>
    <row r="71" spans="1:28" s="264" customFormat="1" ht="20.399999999999999">
      <c r="A71" s="207"/>
      <c r="B71" s="208"/>
      <c r="C71" s="212"/>
      <c r="D71" s="270"/>
      <c r="E71" s="208"/>
      <c r="F71" s="208"/>
      <c r="G71" s="208"/>
      <c r="H71" s="209"/>
      <c r="I71" s="210"/>
      <c r="J71" s="210"/>
      <c r="K71" s="260"/>
      <c r="L71" s="260"/>
      <c r="M71" s="260"/>
      <c r="N71" s="260"/>
      <c r="O71" s="260"/>
      <c r="P71" s="211"/>
      <c r="Q71" s="261"/>
      <c r="R71" s="208" t="str">
        <f ca="1">IF(ISERROR($V71),"",OFFSET('Smelter Look-up'!$C$4,$V71-4,0)&amp;"")</f>
        <v/>
      </c>
      <c r="S71" s="215" t="str">
        <f t="shared" ca="1" si="12"/>
        <v/>
      </c>
      <c r="T71" s="215" t="str">
        <f ca="1">IF(B71="","",IF(ISERROR(MATCH($J71,SorP!$B$1:$B$6230,0)),"",INDIRECT("'SorP'!$A$"&amp;MATCH($J71,SorP!$B$1:$B$6230,0))))</f>
        <v/>
      </c>
      <c r="U71" s="231"/>
      <c r="V71" s="262" t="e">
        <f>IF(C71="",NA(),IF(OR(C71="Smelter not listed",C71="Smelter not yet identified"),MATCH($B71&amp;$D71,'Smelter Look-up'!$J:$J,0),MATCH($B71&amp;$C71,'Smelter Look-up'!$J:$J,0)))</f>
        <v>#N/A</v>
      </c>
      <c r="W71" s="263"/>
      <c r="X71" s="263">
        <f t="shared" si="13"/>
        <v>0</v>
      </c>
      <c r="Y71" s="263"/>
      <c r="Z71" s="263"/>
      <c r="AB71" s="265" t="str">
        <f t="shared" si="14"/>
        <v/>
      </c>
    </row>
    <row r="72" spans="1:28" s="264" customFormat="1" ht="20.399999999999999">
      <c r="A72" s="207"/>
      <c r="B72" s="208"/>
      <c r="C72" s="212"/>
      <c r="D72" s="270"/>
      <c r="E72" s="208"/>
      <c r="F72" s="208"/>
      <c r="G72" s="208"/>
      <c r="H72" s="209"/>
      <c r="I72" s="210"/>
      <c r="J72" s="210"/>
      <c r="K72" s="260"/>
      <c r="L72" s="260"/>
      <c r="M72" s="260"/>
      <c r="N72" s="260"/>
      <c r="O72" s="260"/>
      <c r="P72" s="211"/>
      <c r="Q72" s="261"/>
      <c r="R72" s="208" t="str">
        <f ca="1">IF(ISERROR($V72),"",OFFSET('Smelter Look-up'!$C$4,$V72-4,0)&amp;"")</f>
        <v/>
      </c>
      <c r="S72" s="215" t="str">
        <f t="shared" ca="1" si="12"/>
        <v/>
      </c>
      <c r="T72" s="215" t="str">
        <f ca="1">IF(B72="","",IF(ISERROR(MATCH($J72,SorP!$B$1:$B$6230,0)),"",INDIRECT("'SorP'!$A$"&amp;MATCH($J72,SorP!$B$1:$B$6230,0))))</f>
        <v/>
      </c>
      <c r="U72" s="231"/>
      <c r="V72" s="262" t="e">
        <f>IF(C72="",NA(),IF(OR(C72="Smelter not listed",C72="Smelter not yet identified"),MATCH($B72&amp;$D72,'Smelter Look-up'!$J:$J,0),MATCH($B72&amp;$C72,'Smelter Look-up'!$J:$J,0)))</f>
        <v>#N/A</v>
      </c>
      <c r="W72" s="263"/>
      <c r="X72" s="263">
        <f t="shared" si="13"/>
        <v>0</v>
      </c>
      <c r="Y72" s="263"/>
      <c r="Z72" s="263"/>
      <c r="AB72" s="265" t="str">
        <f t="shared" si="14"/>
        <v/>
      </c>
    </row>
    <row r="73" spans="1:28" s="264" customFormat="1" ht="20.399999999999999">
      <c r="A73" s="207"/>
      <c r="B73" s="208"/>
      <c r="C73" s="212"/>
      <c r="D73" s="270"/>
      <c r="E73" s="208"/>
      <c r="F73" s="208"/>
      <c r="G73" s="208"/>
      <c r="H73" s="209"/>
      <c r="I73" s="210"/>
      <c r="J73" s="210"/>
      <c r="K73" s="260"/>
      <c r="L73" s="260"/>
      <c r="M73" s="260"/>
      <c r="N73" s="260"/>
      <c r="O73" s="260"/>
      <c r="P73" s="211"/>
      <c r="Q73" s="261"/>
      <c r="R73" s="208" t="str">
        <f ca="1">IF(ISERROR($V73),"",OFFSET('Smelter Look-up'!$C$4,$V73-4,0)&amp;"")</f>
        <v/>
      </c>
      <c r="S73" s="215" t="str">
        <f t="shared" ca="1" si="12"/>
        <v/>
      </c>
      <c r="T73" s="215" t="str">
        <f ca="1">IF(B73="","",IF(ISERROR(MATCH($J73,SorP!$B$1:$B$6230,0)),"",INDIRECT("'SorP'!$A$"&amp;MATCH($J73,SorP!$B$1:$B$6230,0))))</f>
        <v/>
      </c>
      <c r="U73" s="231"/>
      <c r="V73" s="262" t="e">
        <f>IF(C73="",NA(),IF(OR(C73="Smelter not listed",C73="Smelter not yet identified"),MATCH($B73&amp;$D73,'Smelter Look-up'!$J:$J,0),MATCH($B73&amp;$C73,'Smelter Look-up'!$J:$J,0)))</f>
        <v>#N/A</v>
      </c>
      <c r="W73" s="263"/>
      <c r="X73" s="263">
        <f t="shared" si="13"/>
        <v>0</v>
      </c>
      <c r="Y73" s="263"/>
      <c r="Z73" s="263"/>
      <c r="AB73" s="265" t="str">
        <f t="shared" si="14"/>
        <v/>
      </c>
    </row>
    <row r="74" spans="1:28" s="264" customFormat="1" ht="20.399999999999999">
      <c r="A74" s="207"/>
      <c r="B74" s="208"/>
      <c r="C74" s="212"/>
      <c r="D74" s="270"/>
      <c r="E74" s="208"/>
      <c r="F74" s="208"/>
      <c r="G74" s="208"/>
      <c r="H74" s="209"/>
      <c r="I74" s="210"/>
      <c r="J74" s="210"/>
      <c r="K74" s="260"/>
      <c r="L74" s="260"/>
      <c r="M74" s="260"/>
      <c r="N74" s="260"/>
      <c r="O74" s="260"/>
      <c r="P74" s="211"/>
      <c r="Q74" s="261"/>
      <c r="R74" s="208" t="str">
        <f ca="1">IF(ISERROR($V74),"",OFFSET('Smelter Look-up'!$C$4,$V74-4,0)&amp;"")</f>
        <v/>
      </c>
      <c r="S74" s="215" t="str">
        <f t="shared" ca="1" si="12"/>
        <v/>
      </c>
      <c r="T74" s="215" t="str">
        <f ca="1">IF(B74="","",IF(ISERROR(MATCH($J74,SorP!$B$1:$B$6230,0)),"",INDIRECT("'SorP'!$A$"&amp;MATCH($J74,SorP!$B$1:$B$6230,0))))</f>
        <v/>
      </c>
      <c r="U74" s="231"/>
      <c r="V74" s="262" t="e">
        <f>IF(C74="",NA(),IF(OR(C74="Smelter not listed",C74="Smelter not yet identified"),MATCH($B74&amp;$D74,'Smelter Look-up'!$J:$J,0),MATCH($B74&amp;$C74,'Smelter Look-up'!$J:$J,0)))</f>
        <v>#N/A</v>
      </c>
      <c r="W74" s="263"/>
      <c r="X74" s="263">
        <f t="shared" si="13"/>
        <v>0</v>
      </c>
      <c r="Y74" s="263"/>
      <c r="Z74" s="263"/>
      <c r="AB74" s="265" t="str">
        <f t="shared" si="14"/>
        <v/>
      </c>
    </row>
    <row r="75" spans="1:28" s="264" customFormat="1" ht="20.399999999999999">
      <c r="A75" s="207"/>
      <c r="B75" s="208"/>
      <c r="C75" s="212"/>
      <c r="D75" s="270"/>
      <c r="E75" s="208"/>
      <c r="F75" s="208"/>
      <c r="G75" s="208"/>
      <c r="H75" s="209"/>
      <c r="I75" s="210"/>
      <c r="J75" s="210"/>
      <c r="K75" s="260"/>
      <c r="L75" s="260"/>
      <c r="M75" s="260"/>
      <c r="N75" s="260"/>
      <c r="O75" s="260"/>
      <c r="P75" s="211"/>
      <c r="Q75" s="261"/>
      <c r="R75" s="208" t="str">
        <f ca="1">IF(ISERROR($V75),"",OFFSET('Smelter Look-up'!$C$4,$V75-4,0)&amp;"")</f>
        <v/>
      </c>
      <c r="S75" s="215" t="str">
        <f t="shared" ca="1" si="12"/>
        <v/>
      </c>
      <c r="T75" s="215" t="str">
        <f ca="1">IF(B75="","",IF(ISERROR(MATCH($J75,SorP!$B$1:$B$6230,0)),"",INDIRECT("'SorP'!$A$"&amp;MATCH($J75,SorP!$B$1:$B$6230,0))))</f>
        <v/>
      </c>
      <c r="U75" s="231"/>
      <c r="V75" s="262" t="e">
        <f>IF(C75="",NA(),IF(OR(C75="Smelter not listed",C75="Smelter not yet identified"),MATCH($B75&amp;$D75,'Smelter Look-up'!$J:$J,0),MATCH($B75&amp;$C75,'Smelter Look-up'!$J:$J,0)))</f>
        <v>#N/A</v>
      </c>
      <c r="W75" s="263"/>
      <c r="X75" s="263">
        <f t="shared" si="13"/>
        <v>0</v>
      </c>
      <c r="Y75" s="263"/>
      <c r="Z75" s="263"/>
      <c r="AB75" s="265" t="str">
        <f t="shared" si="14"/>
        <v/>
      </c>
    </row>
    <row r="76" spans="1:28" s="264" customFormat="1" ht="20.399999999999999">
      <c r="A76" s="207"/>
      <c r="B76" s="208"/>
      <c r="C76" s="212"/>
      <c r="D76" s="270"/>
      <c r="E76" s="208"/>
      <c r="F76" s="208"/>
      <c r="G76" s="208"/>
      <c r="H76" s="209"/>
      <c r="I76" s="210"/>
      <c r="J76" s="210"/>
      <c r="K76" s="260"/>
      <c r="L76" s="260"/>
      <c r="M76" s="260"/>
      <c r="N76" s="260"/>
      <c r="O76" s="260"/>
      <c r="P76" s="211"/>
      <c r="Q76" s="261"/>
      <c r="R76" s="208" t="str">
        <f ca="1">IF(ISERROR($V76),"",OFFSET('Smelter Look-up'!$C$4,$V76-4,0)&amp;"")</f>
        <v/>
      </c>
      <c r="S76" s="215" t="str">
        <f t="shared" ca="1" si="12"/>
        <v/>
      </c>
      <c r="T76" s="215" t="str">
        <f ca="1">IF(B76="","",IF(ISERROR(MATCH($J76,SorP!$B$1:$B$6230,0)),"",INDIRECT("'SorP'!$A$"&amp;MATCH($J76,SorP!$B$1:$B$6230,0))))</f>
        <v/>
      </c>
      <c r="U76" s="231"/>
      <c r="V76" s="262" t="e">
        <f>IF(C76="",NA(),IF(OR(C76="Smelter not listed",C76="Smelter not yet identified"),MATCH($B76&amp;$D76,'Smelter Look-up'!$J:$J,0),MATCH($B76&amp;$C76,'Smelter Look-up'!$J:$J,0)))</f>
        <v>#N/A</v>
      </c>
      <c r="W76" s="263"/>
      <c r="X76" s="263">
        <f t="shared" si="13"/>
        <v>0</v>
      </c>
      <c r="Y76" s="263"/>
      <c r="Z76" s="263"/>
      <c r="AB76" s="265" t="str">
        <f t="shared" si="14"/>
        <v/>
      </c>
    </row>
    <row r="77" spans="1:28" s="264" customFormat="1" ht="20.399999999999999">
      <c r="A77" s="207"/>
      <c r="B77" s="208"/>
      <c r="C77" s="212"/>
      <c r="D77" s="270"/>
      <c r="E77" s="208"/>
      <c r="F77" s="208"/>
      <c r="G77" s="208"/>
      <c r="H77" s="209"/>
      <c r="I77" s="210"/>
      <c r="J77" s="210"/>
      <c r="K77" s="260"/>
      <c r="L77" s="260"/>
      <c r="M77" s="260"/>
      <c r="N77" s="260"/>
      <c r="O77" s="260"/>
      <c r="P77" s="211"/>
      <c r="Q77" s="261"/>
      <c r="R77" s="208" t="str">
        <f ca="1">IF(ISERROR($V77),"",OFFSET('Smelter Look-up'!$C$4,$V77-4,0)&amp;"")</f>
        <v/>
      </c>
      <c r="S77" s="215" t="str">
        <f t="shared" ca="1" si="12"/>
        <v/>
      </c>
      <c r="T77" s="215" t="str">
        <f ca="1">IF(B77="","",IF(ISERROR(MATCH($J77,SorP!$B$1:$B$6230,0)),"",INDIRECT("'SorP'!$A$"&amp;MATCH($J77,SorP!$B$1:$B$6230,0))))</f>
        <v/>
      </c>
      <c r="U77" s="231"/>
      <c r="V77" s="262" t="e">
        <f>IF(C77="",NA(),IF(OR(C77="Smelter not listed",C77="Smelter not yet identified"),MATCH($B77&amp;$D77,'Smelter Look-up'!$J:$J,0),MATCH($B77&amp;$C77,'Smelter Look-up'!$J:$J,0)))</f>
        <v>#N/A</v>
      </c>
      <c r="W77" s="263"/>
      <c r="X77" s="263">
        <f t="shared" si="13"/>
        <v>0</v>
      </c>
      <c r="Y77" s="263"/>
      <c r="Z77" s="263"/>
      <c r="AB77" s="265" t="str">
        <f t="shared" si="14"/>
        <v/>
      </c>
    </row>
    <row r="78" spans="1:28" s="264" customFormat="1" ht="20.399999999999999">
      <c r="A78" s="207"/>
      <c r="B78" s="208"/>
      <c r="C78" s="212"/>
      <c r="D78" s="270"/>
      <c r="E78" s="208"/>
      <c r="F78" s="208"/>
      <c r="G78" s="208"/>
      <c r="H78" s="209"/>
      <c r="I78" s="210"/>
      <c r="J78" s="210"/>
      <c r="K78" s="260"/>
      <c r="L78" s="260"/>
      <c r="M78" s="260"/>
      <c r="N78" s="260"/>
      <c r="O78" s="260"/>
      <c r="P78" s="211"/>
      <c r="Q78" s="261"/>
      <c r="R78" s="208" t="str">
        <f ca="1">IF(ISERROR($V78),"",OFFSET('Smelter Look-up'!$C$4,$V78-4,0)&amp;"")</f>
        <v/>
      </c>
      <c r="S78" s="215" t="str">
        <f t="shared" ca="1" si="12"/>
        <v/>
      </c>
      <c r="T78" s="215" t="str">
        <f ca="1">IF(B78="","",IF(ISERROR(MATCH($J78,SorP!$B$1:$B$6230,0)),"",INDIRECT("'SorP'!$A$"&amp;MATCH($J78,SorP!$B$1:$B$6230,0))))</f>
        <v/>
      </c>
      <c r="U78" s="231"/>
      <c r="V78" s="262" t="e">
        <f>IF(C78="",NA(),IF(OR(C78="Smelter not listed",C78="Smelter not yet identified"),MATCH($B78&amp;$D78,'Smelter Look-up'!$J:$J,0),MATCH($B78&amp;$C78,'Smelter Look-up'!$J:$J,0)))</f>
        <v>#N/A</v>
      </c>
      <c r="W78" s="263"/>
      <c r="X78" s="263">
        <f t="shared" si="13"/>
        <v>0</v>
      </c>
      <c r="Y78" s="263"/>
      <c r="Z78" s="263"/>
      <c r="AB78" s="265" t="str">
        <f t="shared" si="14"/>
        <v/>
      </c>
    </row>
    <row r="79" spans="1:28" s="264" customFormat="1" ht="20.399999999999999">
      <c r="A79" s="207"/>
      <c r="B79" s="208"/>
      <c r="C79" s="212"/>
      <c r="D79" s="270"/>
      <c r="E79" s="208"/>
      <c r="F79" s="208"/>
      <c r="G79" s="208"/>
      <c r="H79" s="209"/>
      <c r="I79" s="210"/>
      <c r="J79" s="210"/>
      <c r="K79" s="260"/>
      <c r="L79" s="260"/>
      <c r="M79" s="260"/>
      <c r="N79" s="260"/>
      <c r="O79" s="260"/>
      <c r="P79" s="211"/>
      <c r="Q79" s="261"/>
      <c r="R79" s="208" t="str">
        <f ca="1">IF(ISERROR($V79),"",OFFSET('Smelter Look-up'!$C$4,$V79-4,0)&amp;"")</f>
        <v/>
      </c>
      <c r="S79" s="215" t="str">
        <f t="shared" ca="1" si="12"/>
        <v/>
      </c>
      <c r="T79" s="215" t="str">
        <f ca="1">IF(B79="","",IF(ISERROR(MATCH($J79,SorP!$B$1:$B$6230,0)),"",INDIRECT("'SorP'!$A$"&amp;MATCH($J79,SorP!$B$1:$B$6230,0))))</f>
        <v/>
      </c>
      <c r="U79" s="231"/>
      <c r="V79" s="262" t="e">
        <f>IF(C79="",NA(),IF(OR(C79="Smelter not listed",C79="Smelter not yet identified"),MATCH($B79&amp;$D79,'Smelter Look-up'!$J:$J,0),MATCH($B79&amp;$C79,'Smelter Look-up'!$J:$J,0)))</f>
        <v>#N/A</v>
      </c>
      <c r="W79" s="263"/>
      <c r="X79" s="263">
        <f t="shared" si="13"/>
        <v>0</v>
      </c>
      <c r="Y79" s="263"/>
      <c r="Z79" s="263"/>
      <c r="AB79" s="265" t="str">
        <f t="shared" si="14"/>
        <v/>
      </c>
    </row>
    <row r="80" spans="1:28" s="264" customFormat="1" ht="20.399999999999999">
      <c r="A80" s="207"/>
      <c r="B80" s="208"/>
      <c r="C80" s="212"/>
      <c r="D80" s="270"/>
      <c r="E80" s="208"/>
      <c r="F80" s="208"/>
      <c r="G80" s="208"/>
      <c r="H80" s="209"/>
      <c r="I80" s="210"/>
      <c r="J80" s="210"/>
      <c r="K80" s="260"/>
      <c r="L80" s="260"/>
      <c r="M80" s="260"/>
      <c r="N80" s="260"/>
      <c r="O80" s="260"/>
      <c r="P80" s="211"/>
      <c r="Q80" s="261"/>
      <c r="R80" s="208" t="str">
        <f ca="1">IF(ISERROR($V80),"",OFFSET('Smelter Look-up'!$C$4,$V80-4,0)&amp;"")</f>
        <v/>
      </c>
      <c r="S80" s="215" t="str">
        <f t="shared" ca="1" si="12"/>
        <v/>
      </c>
      <c r="T80" s="215" t="str">
        <f ca="1">IF(B80="","",IF(ISERROR(MATCH($J80,SorP!$B$1:$B$6230,0)),"",INDIRECT("'SorP'!$A$"&amp;MATCH($J80,SorP!$B$1:$B$6230,0))))</f>
        <v/>
      </c>
      <c r="U80" s="231"/>
      <c r="V80" s="262" t="e">
        <f>IF(C80="",NA(),IF(OR(C80="Smelter not listed",C80="Smelter not yet identified"),MATCH($B80&amp;$D80,'Smelter Look-up'!$J:$J,0),MATCH($B80&amp;$C80,'Smelter Look-up'!$J:$J,0)))</f>
        <v>#N/A</v>
      </c>
      <c r="W80" s="263"/>
      <c r="X80" s="263">
        <f t="shared" si="13"/>
        <v>0</v>
      </c>
      <c r="Y80" s="263"/>
      <c r="Z80" s="263"/>
      <c r="AB80" s="265" t="str">
        <f t="shared" si="14"/>
        <v/>
      </c>
    </row>
    <row r="81" spans="1:28" s="264" customFormat="1" ht="20.399999999999999">
      <c r="A81" s="207"/>
      <c r="B81" s="208"/>
      <c r="C81" s="212"/>
      <c r="D81" s="270"/>
      <c r="E81" s="208"/>
      <c r="F81" s="208"/>
      <c r="G81" s="208"/>
      <c r="H81" s="209"/>
      <c r="I81" s="210"/>
      <c r="J81" s="210"/>
      <c r="K81" s="260"/>
      <c r="L81" s="260"/>
      <c r="M81" s="260"/>
      <c r="N81" s="260"/>
      <c r="O81" s="260"/>
      <c r="P81" s="211"/>
      <c r="Q81" s="261"/>
      <c r="R81" s="208" t="str">
        <f ca="1">IF(ISERROR($V81),"",OFFSET('Smelter Look-up'!$C$4,$V81-4,0)&amp;"")</f>
        <v/>
      </c>
      <c r="S81" s="215" t="str">
        <f t="shared" ca="1" si="12"/>
        <v/>
      </c>
      <c r="T81" s="215" t="str">
        <f ca="1">IF(B81="","",IF(ISERROR(MATCH($J81,SorP!$B$1:$B$6230,0)),"",INDIRECT("'SorP'!$A$"&amp;MATCH($J81,SorP!$B$1:$B$6230,0))))</f>
        <v/>
      </c>
      <c r="U81" s="231"/>
      <c r="V81" s="262" t="e">
        <f>IF(C81="",NA(),IF(OR(C81="Smelter not listed",C81="Smelter not yet identified"),MATCH($B81&amp;$D81,'Smelter Look-up'!$J:$J,0),MATCH($B81&amp;$C81,'Smelter Look-up'!$J:$J,0)))</f>
        <v>#N/A</v>
      </c>
      <c r="W81" s="263"/>
      <c r="X81" s="263">
        <f t="shared" si="13"/>
        <v>0</v>
      </c>
      <c r="Y81" s="263"/>
      <c r="Z81" s="263"/>
      <c r="AB81" s="265" t="str">
        <f t="shared" si="14"/>
        <v/>
      </c>
    </row>
    <row r="82" spans="1:28" s="264" customFormat="1" ht="20.399999999999999">
      <c r="A82" s="207"/>
      <c r="B82" s="208"/>
      <c r="C82" s="212"/>
      <c r="D82" s="270"/>
      <c r="E82" s="208"/>
      <c r="F82" s="208"/>
      <c r="G82" s="208"/>
      <c r="H82" s="209"/>
      <c r="I82" s="210"/>
      <c r="J82" s="210"/>
      <c r="K82" s="260"/>
      <c r="L82" s="260"/>
      <c r="M82" s="260"/>
      <c r="N82" s="260"/>
      <c r="O82" s="260"/>
      <c r="P82" s="211"/>
      <c r="Q82" s="261"/>
      <c r="R82" s="208" t="str">
        <f ca="1">IF(ISERROR($V82),"",OFFSET('Smelter Look-up'!$C$4,$V82-4,0)&amp;"")</f>
        <v/>
      </c>
      <c r="S82" s="215" t="str">
        <f t="shared" ca="1" si="12"/>
        <v/>
      </c>
      <c r="T82" s="215" t="str">
        <f ca="1">IF(B82="","",IF(ISERROR(MATCH($J82,SorP!$B$1:$B$6230,0)),"",INDIRECT("'SorP'!$A$"&amp;MATCH($J82,SorP!$B$1:$B$6230,0))))</f>
        <v/>
      </c>
      <c r="U82" s="231"/>
      <c r="V82" s="262" t="e">
        <f>IF(C82="",NA(),IF(OR(C82="Smelter not listed",C82="Smelter not yet identified"),MATCH($B82&amp;$D82,'Smelter Look-up'!$J:$J,0),MATCH($B82&amp;$C82,'Smelter Look-up'!$J:$J,0)))</f>
        <v>#N/A</v>
      </c>
      <c r="W82" s="263"/>
      <c r="X82" s="263">
        <f t="shared" si="13"/>
        <v>0</v>
      </c>
      <c r="Y82" s="263"/>
      <c r="Z82" s="263"/>
      <c r="AB82" s="265" t="str">
        <f t="shared" si="14"/>
        <v/>
      </c>
    </row>
    <row r="83" spans="1:28" s="264" customFormat="1" ht="20.399999999999999">
      <c r="A83" s="207"/>
      <c r="B83" s="208"/>
      <c r="C83" s="212"/>
      <c r="D83" s="270"/>
      <c r="E83" s="208"/>
      <c r="F83" s="208"/>
      <c r="G83" s="208"/>
      <c r="H83" s="209"/>
      <c r="I83" s="210"/>
      <c r="J83" s="210"/>
      <c r="K83" s="260"/>
      <c r="L83" s="260"/>
      <c r="M83" s="260"/>
      <c r="N83" s="260"/>
      <c r="O83" s="260"/>
      <c r="P83" s="211"/>
      <c r="Q83" s="261"/>
      <c r="R83" s="208" t="str">
        <f ca="1">IF(ISERROR($V83),"",OFFSET('Smelter Look-up'!$C$4,$V83-4,0)&amp;"")</f>
        <v/>
      </c>
      <c r="S83" s="215" t="str">
        <f t="shared" ca="1" si="12"/>
        <v/>
      </c>
      <c r="T83" s="215" t="str">
        <f ca="1">IF(B83="","",IF(ISERROR(MATCH($J83,SorP!$B$1:$B$6230,0)),"",INDIRECT("'SorP'!$A$"&amp;MATCH($J83,SorP!$B$1:$B$6230,0))))</f>
        <v/>
      </c>
      <c r="U83" s="231"/>
      <c r="V83" s="262" t="e">
        <f>IF(C83="",NA(),IF(OR(C83="Smelter not listed",C83="Smelter not yet identified"),MATCH($B83&amp;$D83,'Smelter Look-up'!$J:$J,0),MATCH($B83&amp;$C83,'Smelter Look-up'!$J:$J,0)))</f>
        <v>#N/A</v>
      </c>
      <c r="W83" s="263"/>
      <c r="X83" s="263">
        <f t="shared" si="13"/>
        <v>0</v>
      </c>
      <c r="Y83" s="263"/>
      <c r="Z83" s="263"/>
      <c r="AB83" s="265" t="str">
        <f t="shared" si="14"/>
        <v/>
      </c>
    </row>
    <row r="84" spans="1:28" s="264" customFormat="1" ht="20.399999999999999">
      <c r="A84" s="207"/>
      <c r="B84" s="208"/>
      <c r="C84" s="212"/>
      <c r="D84" s="270"/>
      <c r="E84" s="208"/>
      <c r="F84" s="208"/>
      <c r="G84" s="208"/>
      <c r="H84" s="209"/>
      <c r="I84" s="210"/>
      <c r="J84" s="210"/>
      <c r="K84" s="260"/>
      <c r="L84" s="260"/>
      <c r="M84" s="260"/>
      <c r="N84" s="260"/>
      <c r="O84" s="260"/>
      <c r="P84" s="211"/>
      <c r="Q84" s="261"/>
      <c r="R84" s="208" t="str">
        <f ca="1">IF(ISERROR($V84),"",OFFSET('Smelter Look-up'!$C$4,$V84-4,0)&amp;"")</f>
        <v/>
      </c>
      <c r="S84" s="215" t="str">
        <f t="shared" ca="1" si="12"/>
        <v/>
      </c>
      <c r="T84" s="215" t="str">
        <f ca="1">IF(B84="","",IF(ISERROR(MATCH($J84,SorP!$B$1:$B$6230,0)),"",INDIRECT("'SorP'!$A$"&amp;MATCH($J84,SorP!$B$1:$B$6230,0))))</f>
        <v/>
      </c>
      <c r="U84" s="231"/>
      <c r="V84" s="262" t="e">
        <f>IF(C84="",NA(),IF(OR(C84="Smelter not listed",C84="Smelter not yet identified"),MATCH($B84&amp;$D84,'Smelter Look-up'!$J:$J,0),MATCH($B84&amp;$C84,'Smelter Look-up'!$J:$J,0)))</f>
        <v>#N/A</v>
      </c>
      <c r="W84" s="263"/>
      <c r="X84" s="263">
        <f t="shared" si="13"/>
        <v>0</v>
      </c>
      <c r="Y84" s="263"/>
      <c r="Z84" s="263"/>
      <c r="AB84" s="265" t="str">
        <f t="shared" si="14"/>
        <v/>
      </c>
    </row>
    <row r="85" spans="1:28" s="264" customFormat="1" ht="20.399999999999999">
      <c r="A85" s="207"/>
      <c r="B85" s="208"/>
      <c r="C85" s="212"/>
      <c r="D85" s="270"/>
      <c r="E85" s="208"/>
      <c r="F85" s="208"/>
      <c r="G85" s="208"/>
      <c r="H85" s="209"/>
      <c r="I85" s="210"/>
      <c r="J85" s="210"/>
      <c r="K85" s="260"/>
      <c r="L85" s="260"/>
      <c r="M85" s="260"/>
      <c r="N85" s="260"/>
      <c r="O85" s="260"/>
      <c r="P85" s="211"/>
      <c r="Q85" s="261"/>
      <c r="R85" s="208" t="str">
        <f ca="1">IF(ISERROR($V85),"",OFFSET('Smelter Look-up'!$C$4,$V85-4,0)&amp;"")</f>
        <v/>
      </c>
      <c r="S85" s="215" t="str">
        <f t="shared" ca="1" si="12"/>
        <v/>
      </c>
      <c r="T85" s="215" t="str">
        <f ca="1">IF(B85="","",IF(ISERROR(MATCH($J85,SorP!$B$1:$B$6230,0)),"",INDIRECT("'SorP'!$A$"&amp;MATCH($J85,SorP!$B$1:$B$6230,0))))</f>
        <v/>
      </c>
      <c r="U85" s="231"/>
      <c r="V85" s="262" t="e">
        <f>IF(C85="",NA(),IF(OR(C85="Smelter not listed",C85="Smelter not yet identified"),MATCH($B85&amp;$D85,'Smelter Look-up'!$J:$J,0),MATCH($B85&amp;$C85,'Smelter Look-up'!$J:$J,0)))</f>
        <v>#N/A</v>
      </c>
      <c r="W85" s="263"/>
      <c r="X85" s="263">
        <f t="shared" si="13"/>
        <v>0</v>
      </c>
      <c r="Y85" s="263"/>
      <c r="Z85" s="263"/>
      <c r="AB85" s="265" t="str">
        <f t="shared" si="14"/>
        <v/>
      </c>
    </row>
    <row r="86" spans="1:28" s="264" customFormat="1" ht="20.399999999999999">
      <c r="A86" s="207"/>
      <c r="B86" s="208"/>
      <c r="C86" s="212"/>
      <c r="D86" s="270"/>
      <c r="E86" s="208"/>
      <c r="F86" s="208"/>
      <c r="G86" s="208"/>
      <c r="H86" s="209"/>
      <c r="I86" s="210"/>
      <c r="J86" s="210"/>
      <c r="K86" s="260"/>
      <c r="L86" s="260"/>
      <c r="M86" s="260"/>
      <c r="N86" s="260"/>
      <c r="O86" s="260"/>
      <c r="P86" s="211"/>
      <c r="Q86" s="261"/>
      <c r="R86" s="208" t="str">
        <f ca="1">IF(ISERROR($V86),"",OFFSET('Smelter Look-up'!$C$4,$V86-4,0)&amp;"")</f>
        <v/>
      </c>
      <c r="S86" s="215" t="str">
        <f t="shared" ca="1" si="12"/>
        <v/>
      </c>
      <c r="T86" s="215" t="str">
        <f ca="1">IF(B86="","",IF(ISERROR(MATCH($J86,SorP!$B$1:$B$6230,0)),"",INDIRECT("'SorP'!$A$"&amp;MATCH($J86,SorP!$B$1:$B$6230,0))))</f>
        <v/>
      </c>
      <c r="U86" s="231"/>
      <c r="V86" s="262" t="e">
        <f>IF(C86="",NA(),IF(OR(C86="Smelter not listed",C86="Smelter not yet identified"),MATCH($B86&amp;$D86,'Smelter Look-up'!$J:$J,0),MATCH($B86&amp;$C86,'Smelter Look-up'!$J:$J,0)))</f>
        <v>#N/A</v>
      </c>
      <c r="W86" s="263"/>
      <c r="X86" s="263">
        <f t="shared" si="13"/>
        <v>0</v>
      </c>
      <c r="Y86" s="263"/>
      <c r="Z86" s="263"/>
      <c r="AB86" s="265" t="str">
        <f t="shared" si="14"/>
        <v/>
      </c>
    </row>
    <row r="87" spans="1:28" s="264" customFormat="1" ht="20.399999999999999">
      <c r="A87" s="207"/>
      <c r="B87" s="208"/>
      <c r="C87" s="212"/>
      <c r="D87" s="270"/>
      <c r="E87" s="208"/>
      <c r="F87" s="208"/>
      <c r="G87" s="208"/>
      <c r="H87" s="209"/>
      <c r="I87" s="210"/>
      <c r="J87" s="210"/>
      <c r="K87" s="260"/>
      <c r="L87" s="260"/>
      <c r="M87" s="260"/>
      <c r="N87" s="260"/>
      <c r="O87" s="260"/>
      <c r="P87" s="211"/>
      <c r="Q87" s="261"/>
      <c r="R87" s="208" t="str">
        <f ca="1">IF(ISERROR($V87),"",OFFSET('Smelter Look-up'!$C$4,$V87-4,0)&amp;"")</f>
        <v/>
      </c>
      <c r="S87" s="215" t="str">
        <f t="shared" ca="1" si="12"/>
        <v/>
      </c>
      <c r="T87" s="215" t="str">
        <f ca="1">IF(B87="","",IF(ISERROR(MATCH($J87,SorP!$B$1:$B$6230,0)),"",INDIRECT("'SorP'!$A$"&amp;MATCH($J87,SorP!$B$1:$B$6230,0))))</f>
        <v/>
      </c>
      <c r="U87" s="231"/>
      <c r="V87" s="262" t="e">
        <f>IF(C87="",NA(),IF(OR(C87="Smelter not listed",C87="Smelter not yet identified"),MATCH($B87&amp;$D87,'Smelter Look-up'!$J:$J,0),MATCH($B87&amp;$C87,'Smelter Look-up'!$J:$J,0)))</f>
        <v>#N/A</v>
      </c>
      <c r="W87" s="263"/>
      <c r="X87" s="263">
        <f t="shared" si="13"/>
        <v>0</v>
      </c>
      <c r="Y87" s="263"/>
      <c r="Z87" s="263"/>
      <c r="AB87" s="265" t="str">
        <f t="shared" si="14"/>
        <v/>
      </c>
    </row>
    <row r="88" spans="1:28" s="264" customFormat="1" ht="20.399999999999999">
      <c r="A88" s="207"/>
      <c r="B88" s="208"/>
      <c r="C88" s="212"/>
      <c r="D88" s="270"/>
      <c r="E88" s="208"/>
      <c r="F88" s="208"/>
      <c r="G88" s="208"/>
      <c r="H88" s="209"/>
      <c r="I88" s="210"/>
      <c r="J88" s="210"/>
      <c r="K88" s="260"/>
      <c r="L88" s="260"/>
      <c r="M88" s="260"/>
      <c r="N88" s="260"/>
      <c r="O88" s="260"/>
      <c r="P88" s="211"/>
      <c r="Q88" s="261"/>
      <c r="R88" s="208" t="str">
        <f ca="1">IF(ISERROR($V88),"",OFFSET('Smelter Look-up'!$C$4,$V88-4,0)&amp;"")</f>
        <v/>
      </c>
      <c r="S88" s="215" t="str">
        <f t="shared" ca="1" si="12"/>
        <v/>
      </c>
      <c r="T88" s="215" t="str">
        <f ca="1">IF(B88="","",IF(ISERROR(MATCH($J88,SorP!$B$1:$B$6230,0)),"",INDIRECT("'SorP'!$A$"&amp;MATCH($J88,SorP!$B$1:$B$6230,0))))</f>
        <v/>
      </c>
      <c r="U88" s="231"/>
      <c r="V88" s="262" t="e">
        <f>IF(C88="",NA(),IF(OR(C88="Smelter not listed",C88="Smelter not yet identified"),MATCH($B88&amp;$D88,'Smelter Look-up'!$J:$J,0),MATCH($B88&amp;$C88,'Smelter Look-up'!$J:$J,0)))</f>
        <v>#N/A</v>
      </c>
      <c r="W88" s="263"/>
      <c r="X88" s="263">
        <f t="shared" si="13"/>
        <v>0</v>
      </c>
      <c r="Y88" s="263"/>
      <c r="Z88" s="263"/>
      <c r="AB88" s="265" t="str">
        <f t="shared" si="14"/>
        <v/>
      </c>
    </row>
    <row r="89" spans="1:28" s="264" customFormat="1" ht="20.399999999999999">
      <c r="A89" s="207"/>
      <c r="B89" s="208"/>
      <c r="C89" s="212"/>
      <c r="D89" s="270"/>
      <c r="E89" s="208"/>
      <c r="F89" s="208"/>
      <c r="G89" s="208"/>
      <c r="H89" s="209"/>
      <c r="I89" s="210"/>
      <c r="J89" s="210"/>
      <c r="K89" s="260"/>
      <c r="L89" s="260"/>
      <c r="M89" s="260"/>
      <c r="N89" s="260"/>
      <c r="O89" s="260"/>
      <c r="P89" s="211"/>
      <c r="Q89" s="261"/>
      <c r="R89" s="208" t="str">
        <f ca="1">IF(ISERROR($V89),"",OFFSET('Smelter Look-up'!$C$4,$V89-4,0)&amp;"")</f>
        <v/>
      </c>
      <c r="S89" s="215" t="str">
        <f t="shared" ca="1" si="12"/>
        <v/>
      </c>
      <c r="T89" s="215" t="str">
        <f ca="1">IF(B89="","",IF(ISERROR(MATCH($J89,SorP!$B$1:$B$6230,0)),"",INDIRECT("'SorP'!$A$"&amp;MATCH($J89,SorP!$B$1:$B$6230,0))))</f>
        <v/>
      </c>
      <c r="U89" s="231"/>
      <c r="V89" s="262" t="e">
        <f>IF(C89="",NA(),IF(OR(C89="Smelter not listed",C89="Smelter not yet identified"),MATCH($B89&amp;$D89,'Smelter Look-up'!$J:$J,0),MATCH($B89&amp;$C89,'Smelter Look-up'!$J:$J,0)))</f>
        <v>#N/A</v>
      </c>
      <c r="W89" s="263"/>
      <c r="X89" s="263">
        <f t="shared" si="13"/>
        <v>0</v>
      </c>
      <c r="Y89" s="263"/>
      <c r="Z89" s="263"/>
      <c r="AB89" s="265" t="str">
        <f t="shared" si="14"/>
        <v/>
      </c>
    </row>
    <row r="90" spans="1:28" s="264" customFormat="1" ht="20.399999999999999">
      <c r="A90" s="207"/>
      <c r="B90" s="208"/>
      <c r="C90" s="212"/>
      <c r="D90" s="270"/>
      <c r="E90" s="208"/>
      <c r="F90" s="208"/>
      <c r="G90" s="208"/>
      <c r="H90" s="209"/>
      <c r="I90" s="210"/>
      <c r="J90" s="210"/>
      <c r="K90" s="260"/>
      <c r="L90" s="260"/>
      <c r="M90" s="260"/>
      <c r="N90" s="260"/>
      <c r="O90" s="260"/>
      <c r="P90" s="211"/>
      <c r="Q90" s="261"/>
      <c r="R90" s="208" t="str">
        <f ca="1">IF(ISERROR($V90),"",OFFSET('Smelter Look-up'!$C$4,$V90-4,0)&amp;"")</f>
        <v/>
      </c>
      <c r="S90" s="215" t="str">
        <f t="shared" ca="1" si="12"/>
        <v/>
      </c>
      <c r="T90" s="215" t="str">
        <f ca="1">IF(B90="","",IF(ISERROR(MATCH($J90,SorP!$B$1:$B$6230,0)),"",INDIRECT("'SorP'!$A$"&amp;MATCH($J90,SorP!$B$1:$B$6230,0))))</f>
        <v/>
      </c>
      <c r="U90" s="231"/>
      <c r="V90" s="262" t="e">
        <f>IF(C90="",NA(),IF(OR(C90="Smelter not listed",C90="Smelter not yet identified"),MATCH($B90&amp;$D90,'Smelter Look-up'!$J:$J,0),MATCH($B90&amp;$C90,'Smelter Look-up'!$J:$J,0)))</f>
        <v>#N/A</v>
      </c>
      <c r="W90" s="263"/>
      <c r="X90" s="263">
        <f t="shared" si="13"/>
        <v>0</v>
      </c>
      <c r="Y90" s="263"/>
      <c r="Z90" s="263"/>
      <c r="AB90" s="265" t="str">
        <f t="shared" si="14"/>
        <v/>
      </c>
    </row>
    <row r="91" spans="1:28" s="264" customFormat="1" ht="20.399999999999999">
      <c r="A91" s="207"/>
      <c r="B91" s="208"/>
      <c r="C91" s="212"/>
      <c r="D91" s="270"/>
      <c r="E91" s="208"/>
      <c r="F91" s="208"/>
      <c r="G91" s="208"/>
      <c r="H91" s="209"/>
      <c r="I91" s="210"/>
      <c r="J91" s="210"/>
      <c r="K91" s="260"/>
      <c r="L91" s="260"/>
      <c r="M91" s="260"/>
      <c r="N91" s="260"/>
      <c r="O91" s="260"/>
      <c r="P91" s="211"/>
      <c r="Q91" s="261"/>
      <c r="R91" s="208" t="str">
        <f ca="1">IF(ISERROR($V91),"",OFFSET('Smelter Look-up'!$C$4,$V91-4,0)&amp;"")</f>
        <v/>
      </c>
      <c r="S91" s="215" t="str">
        <f t="shared" ca="1" si="12"/>
        <v/>
      </c>
      <c r="T91" s="215" t="str">
        <f ca="1">IF(B91="","",IF(ISERROR(MATCH($J91,SorP!$B$1:$B$6230,0)),"",INDIRECT("'SorP'!$A$"&amp;MATCH($J91,SorP!$B$1:$B$6230,0))))</f>
        <v/>
      </c>
      <c r="U91" s="231"/>
      <c r="V91" s="262" t="e">
        <f>IF(C91="",NA(),IF(OR(C91="Smelter not listed",C91="Smelter not yet identified"),MATCH($B91&amp;$D91,'Smelter Look-up'!$J:$J,0),MATCH($B91&amp;$C91,'Smelter Look-up'!$J:$J,0)))</f>
        <v>#N/A</v>
      </c>
      <c r="W91" s="263"/>
      <c r="X91" s="263">
        <f t="shared" si="13"/>
        <v>0</v>
      </c>
      <c r="Y91" s="263"/>
      <c r="Z91" s="263"/>
      <c r="AB91" s="265" t="str">
        <f t="shared" si="14"/>
        <v/>
      </c>
    </row>
    <row r="92" spans="1:28" s="264" customFormat="1" ht="20.399999999999999">
      <c r="A92" s="207"/>
      <c r="B92" s="208"/>
      <c r="C92" s="212"/>
      <c r="D92" s="270"/>
      <c r="E92" s="208"/>
      <c r="F92" s="208"/>
      <c r="G92" s="208"/>
      <c r="H92" s="209"/>
      <c r="I92" s="210"/>
      <c r="J92" s="210"/>
      <c r="K92" s="260"/>
      <c r="L92" s="260"/>
      <c r="M92" s="260"/>
      <c r="N92" s="260"/>
      <c r="O92" s="260"/>
      <c r="P92" s="211"/>
      <c r="Q92" s="261"/>
      <c r="R92" s="208" t="str">
        <f ca="1">IF(ISERROR($V92),"",OFFSET('Smelter Look-up'!$C$4,$V92-4,0)&amp;"")</f>
        <v/>
      </c>
      <c r="S92" s="215" t="str">
        <f t="shared" ca="1" si="12"/>
        <v/>
      </c>
      <c r="T92" s="215" t="str">
        <f ca="1">IF(B92="","",IF(ISERROR(MATCH($J92,SorP!$B$1:$B$6230,0)),"",INDIRECT("'SorP'!$A$"&amp;MATCH($J92,SorP!$B$1:$B$6230,0))))</f>
        <v/>
      </c>
      <c r="U92" s="231"/>
      <c r="V92" s="262" t="e">
        <f>IF(C92="",NA(),IF(OR(C92="Smelter not listed",C92="Smelter not yet identified"),MATCH($B92&amp;$D92,'Smelter Look-up'!$J:$J,0),MATCH($B92&amp;$C92,'Smelter Look-up'!$J:$J,0)))</f>
        <v>#N/A</v>
      </c>
      <c r="W92" s="263"/>
      <c r="X92" s="263">
        <f t="shared" si="13"/>
        <v>0</v>
      </c>
      <c r="Y92" s="263"/>
      <c r="Z92" s="263"/>
      <c r="AB92" s="265" t="str">
        <f t="shared" si="14"/>
        <v/>
      </c>
    </row>
    <row r="93" spans="1:28" s="264" customFormat="1" ht="20.399999999999999">
      <c r="A93" s="207"/>
      <c r="B93" s="208"/>
      <c r="C93" s="212"/>
      <c r="D93" s="270"/>
      <c r="E93" s="208"/>
      <c r="F93" s="208"/>
      <c r="G93" s="208"/>
      <c r="H93" s="209"/>
      <c r="I93" s="210"/>
      <c r="J93" s="210"/>
      <c r="K93" s="260"/>
      <c r="L93" s="260"/>
      <c r="M93" s="260"/>
      <c r="N93" s="260"/>
      <c r="O93" s="260"/>
      <c r="P93" s="211"/>
      <c r="Q93" s="261"/>
      <c r="R93" s="208" t="str">
        <f ca="1">IF(ISERROR($V93),"",OFFSET('Smelter Look-up'!$C$4,$V93-4,0)&amp;"")</f>
        <v/>
      </c>
      <c r="S93" s="215" t="str">
        <f t="shared" ca="1" si="12"/>
        <v/>
      </c>
      <c r="T93" s="215" t="str">
        <f ca="1">IF(B93="","",IF(ISERROR(MATCH($J93,SorP!$B$1:$B$6230,0)),"",INDIRECT("'SorP'!$A$"&amp;MATCH($J93,SorP!$B$1:$B$6230,0))))</f>
        <v/>
      </c>
      <c r="U93" s="231"/>
      <c r="V93" s="262" t="e">
        <f>IF(C93="",NA(),IF(OR(C93="Smelter not listed",C93="Smelter not yet identified"),MATCH($B93&amp;$D93,'Smelter Look-up'!$J:$J,0),MATCH($B93&amp;$C93,'Smelter Look-up'!$J:$J,0)))</f>
        <v>#N/A</v>
      </c>
      <c r="W93" s="263"/>
      <c r="X93" s="263">
        <f t="shared" si="13"/>
        <v>0</v>
      </c>
      <c r="Y93" s="263"/>
      <c r="Z93" s="263"/>
      <c r="AB93" s="265" t="str">
        <f t="shared" si="14"/>
        <v/>
      </c>
    </row>
    <row r="94" spans="1:28" s="264" customFormat="1" ht="20.399999999999999">
      <c r="A94" s="207"/>
      <c r="B94" s="208"/>
      <c r="C94" s="212"/>
      <c r="D94" s="270"/>
      <c r="E94" s="208"/>
      <c r="F94" s="208"/>
      <c r="G94" s="208"/>
      <c r="H94" s="209"/>
      <c r="I94" s="210"/>
      <c r="J94" s="210"/>
      <c r="K94" s="260"/>
      <c r="L94" s="260"/>
      <c r="M94" s="260"/>
      <c r="N94" s="260"/>
      <c r="O94" s="260"/>
      <c r="P94" s="211"/>
      <c r="Q94" s="261"/>
      <c r="R94" s="208" t="str">
        <f ca="1">IF(ISERROR($V94),"",OFFSET('Smelter Look-up'!$C$4,$V94-4,0)&amp;"")</f>
        <v/>
      </c>
      <c r="S94" s="215" t="str">
        <f t="shared" ca="1" si="12"/>
        <v/>
      </c>
      <c r="T94" s="215" t="str">
        <f ca="1">IF(B94="","",IF(ISERROR(MATCH($J94,SorP!$B$1:$B$6230,0)),"",INDIRECT("'SorP'!$A$"&amp;MATCH($J94,SorP!$B$1:$B$6230,0))))</f>
        <v/>
      </c>
      <c r="U94" s="231"/>
      <c r="V94" s="262" t="e">
        <f>IF(C94="",NA(),IF(OR(C94="Smelter not listed",C94="Smelter not yet identified"),MATCH($B94&amp;$D94,'Smelter Look-up'!$J:$J,0),MATCH($B94&amp;$C94,'Smelter Look-up'!$J:$J,0)))</f>
        <v>#N/A</v>
      </c>
      <c r="W94" s="263"/>
      <c r="X94" s="263">
        <f t="shared" si="13"/>
        <v>0</v>
      </c>
      <c r="Y94" s="263"/>
      <c r="Z94" s="263"/>
      <c r="AB94" s="265" t="str">
        <f t="shared" si="14"/>
        <v/>
      </c>
    </row>
    <row r="95" spans="1:28" s="264" customFormat="1" ht="20.399999999999999">
      <c r="A95" s="207"/>
      <c r="B95" s="208"/>
      <c r="C95" s="212"/>
      <c r="D95" s="270"/>
      <c r="E95" s="208"/>
      <c r="F95" s="208"/>
      <c r="G95" s="208"/>
      <c r="H95" s="209"/>
      <c r="I95" s="210"/>
      <c r="J95" s="210"/>
      <c r="K95" s="260"/>
      <c r="L95" s="260"/>
      <c r="M95" s="260"/>
      <c r="N95" s="260"/>
      <c r="O95" s="260"/>
      <c r="P95" s="211"/>
      <c r="Q95" s="261"/>
      <c r="R95" s="208" t="str">
        <f ca="1">IF(ISERROR($V95),"",OFFSET('Smelter Look-up'!$C$4,$V95-4,0)&amp;"")</f>
        <v/>
      </c>
      <c r="S95" s="215" t="str">
        <f t="shared" ca="1" si="12"/>
        <v/>
      </c>
      <c r="T95" s="215" t="str">
        <f ca="1">IF(B95="","",IF(ISERROR(MATCH($J95,SorP!$B$1:$B$6230,0)),"",INDIRECT("'SorP'!$A$"&amp;MATCH($J95,SorP!$B$1:$B$6230,0))))</f>
        <v/>
      </c>
      <c r="U95" s="231"/>
      <c r="V95" s="262" t="e">
        <f>IF(C95="",NA(),IF(OR(C95="Smelter not listed",C95="Smelter not yet identified"),MATCH($B95&amp;$D95,'Smelter Look-up'!$J:$J,0),MATCH($B95&amp;$C95,'Smelter Look-up'!$J:$J,0)))</f>
        <v>#N/A</v>
      </c>
      <c r="W95" s="263"/>
      <c r="X95" s="263">
        <f t="shared" si="13"/>
        <v>0</v>
      </c>
      <c r="Y95" s="263"/>
      <c r="Z95" s="263"/>
      <c r="AB95" s="265" t="str">
        <f t="shared" si="14"/>
        <v/>
      </c>
    </row>
    <row r="96" spans="1:28" s="264" customFormat="1" ht="20.399999999999999">
      <c r="A96" s="207"/>
      <c r="B96" s="208"/>
      <c r="C96" s="212"/>
      <c r="D96" s="270"/>
      <c r="E96" s="208"/>
      <c r="F96" s="208"/>
      <c r="G96" s="208"/>
      <c r="H96" s="209"/>
      <c r="I96" s="210"/>
      <c r="J96" s="210"/>
      <c r="K96" s="260"/>
      <c r="L96" s="260"/>
      <c r="M96" s="260"/>
      <c r="N96" s="260"/>
      <c r="O96" s="260"/>
      <c r="P96" s="211"/>
      <c r="Q96" s="261"/>
      <c r="R96" s="208" t="str">
        <f ca="1">IF(ISERROR($V96),"",OFFSET('Smelter Look-up'!$C$4,$V96-4,0)&amp;"")</f>
        <v/>
      </c>
      <c r="S96" s="215" t="str">
        <f t="shared" ca="1" si="12"/>
        <v/>
      </c>
      <c r="T96" s="215" t="str">
        <f ca="1">IF(B96="","",IF(ISERROR(MATCH($J96,SorP!$B$1:$B$6230,0)),"",INDIRECT("'SorP'!$A$"&amp;MATCH($J96,SorP!$B$1:$B$6230,0))))</f>
        <v/>
      </c>
      <c r="U96" s="231"/>
      <c r="V96" s="262" t="e">
        <f>IF(C96="",NA(),IF(OR(C96="Smelter not listed",C96="Smelter not yet identified"),MATCH($B96&amp;$D96,'Smelter Look-up'!$J:$J,0),MATCH($B96&amp;$C96,'Smelter Look-up'!$J:$J,0)))</f>
        <v>#N/A</v>
      </c>
      <c r="W96" s="263"/>
      <c r="X96" s="263">
        <f t="shared" si="13"/>
        <v>0</v>
      </c>
      <c r="Y96" s="263"/>
      <c r="Z96" s="263"/>
      <c r="AB96" s="265" t="str">
        <f t="shared" si="14"/>
        <v/>
      </c>
    </row>
    <row r="97" spans="1:28" s="264" customFormat="1" ht="20.399999999999999">
      <c r="A97" s="207"/>
      <c r="B97" s="208"/>
      <c r="C97" s="212"/>
      <c r="D97" s="270"/>
      <c r="E97" s="208"/>
      <c r="F97" s="208"/>
      <c r="G97" s="208"/>
      <c r="H97" s="209"/>
      <c r="I97" s="210"/>
      <c r="J97" s="210"/>
      <c r="K97" s="260"/>
      <c r="L97" s="260"/>
      <c r="M97" s="260"/>
      <c r="N97" s="260"/>
      <c r="O97" s="260"/>
      <c r="P97" s="211"/>
      <c r="Q97" s="261"/>
      <c r="R97" s="208" t="str">
        <f ca="1">IF(ISERROR($V97),"",OFFSET('Smelter Look-up'!$C$4,$V97-4,0)&amp;"")</f>
        <v/>
      </c>
      <c r="S97" s="215" t="str">
        <f t="shared" ca="1" si="12"/>
        <v/>
      </c>
      <c r="T97" s="215" t="str">
        <f ca="1">IF(B97="","",IF(ISERROR(MATCH($J97,SorP!$B$1:$B$6230,0)),"",INDIRECT("'SorP'!$A$"&amp;MATCH($J97,SorP!$B$1:$B$6230,0))))</f>
        <v/>
      </c>
      <c r="U97" s="231"/>
      <c r="V97" s="262" t="e">
        <f>IF(C97="",NA(),IF(OR(C97="Smelter not listed",C97="Smelter not yet identified"),MATCH($B97&amp;$D97,'Smelter Look-up'!$J:$J,0),MATCH($B97&amp;$C97,'Smelter Look-up'!$J:$J,0)))</f>
        <v>#N/A</v>
      </c>
      <c r="W97" s="263"/>
      <c r="X97" s="263">
        <f t="shared" si="13"/>
        <v>0</v>
      </c>
      <c r="Y97" s="263"/>
      <c r="Z97" s="263"/>
      <c r="AB97" s="265" t="str">
        <f t="shared" si="14"/>
        <v/>
      </c>
    </row>
    <row r="98" spans="1:28" s="264" customFormat="1" ht="20.399999999999999">
      <c r="A98" s="207"/>
      <c r="B98" s="208"/>
      <c r="C98" s="212"/>
      <c r="D98" s="270"/>
      <c r="E98" s="208"/>
      <c r="F98" s="208"/>
      <c r="G98" s="208"/>
      <c r="H98" s="209"/>
      <c r="I98" s="210"/>
      <c r="J98" s="210"/>
      <c r="K98" s="260"/>
      <c r="L98" s="260"/>
      <c r="M98" s="260"/>
      <c r="N98" s="260"/>
      <c r="O98" s="260"/>
      <c r="P98" s="211"/>
      <c r="Q98" s="261"/>
      <c r="R98" s="208" t="str">
        <f ca="1">IF(ISERROR($V98),"",OFFSET('Smelter Look-up'!$C$4,$V98-4,0)&amp;"")</f>
        <v/>
      </c>
      <c r="S98" s="215" t="str">
        <f t="shared" ca="1" si="12"/>
        <v/>
      </c>
      <c r="T98" s="215" t="str">
        <f ca="1">IF(B98="","",IF(ISERROR(MATCH($J98,SorP!$B$1:$B$6230,0)),"",INDIRECT("'SorP'!$A$"&amp;MATCH($J98,SorP!$B$1:$B$6230,0))))</f>
        <v/>
      </c>
      <c r="U98" s="231"/>
      <c r="V98" s="262" t="e">
        <f>IF(C98="",NA(),IF(OR(C98="Smelter not listed",C98="Smelter not yet identified"),MATCH($B98&amp;$D98,'Smelter Look-up'!$J:$J,0),MATCH($B98&amp;$C98,'Smelter Look-up'!$J:$J,0)))</f>
        <v>#N/A</v>
      </c>
      <c r="W98" s="263"/>
      <c r="X98" s="263">
        <f t="shared" si="13"/>
        <v>0</v>
      </c>
      <c r="Y98" s="263"/>
      <c r="Z98" s="263"/>
      <c r="AB98" s="265" t="str">
        <f t="shared" si="14"/>
        <v/>
      </c>
    </row>
    <row r="99" spans="1:28" s="264" customFormat="1" ht="20.399999999999999">
      <c r="A99" s="207"/>
      <c r="B99" s="208"/>
      <c r="C99" s="212"/>
      <c r="D99" s="270"/>
      <c r="E99" s="208"/>
      <c r="F99" s="208"/>
      <c r="G99" s="208"/>
      <c r="H99" s="209"/>
      <c r="I99" s="210"/>
      <c r="J99" s="210"/>
      <c r="K99" s="260"/>
      <c r="L99" s="260"/>
      <c r="M99" s="260"/>
      <c r="N99" s="260"/>
      <c r="O99" s="260"/>
      <c r="P99" s="211"/>
      <c r="Q99" s="261"/>
      <c r="R99" s="208" t="str">
        <f ca="1">IF(ISERROR($V99),"",OFFSET('Smelter Look-up'!$C$4,$V99-4,0)&amp;"")</f>
        <v/>
      </c>
      <c r="S99" s="215" t="str">
        <f t="shared" ca="1" si="12"/>
        <v/>
      </c>
      <c r="T99" s="215" t="str">
        <f ca="1">IF(B99="","",IF(ISERROR(MATCH($J99,SorP!$B$1:$B$6230,0)),"",INDIRECT("'SorP'!$A$"&amp;MATCH($J99,SorP!$B$1:$B$6230,0))))</f>
        <v/>
      </c>
      <c r="U99" s="231"/>
      <c r="V99" s="262" t="e">
        <f>IF(C99="",NA(),IF(OR(C99="Smelter not listed",C99="Smelter not yet identified"),MATCH($B99&amp;$D99,'Smelter Look-up'!$J:$J,0),MATCH($B99&amp;$C99,'Smelter Look-up'!$J:$J,0)))</f>
        <v>#N/A</v>
      </c>
      <c r="W99" s="263"/>
      <c r="X99" s="263">
        <f t="shared" si="13"/>
        <v>0</v>
      </c>
      <c r="Y99" s="263"/>
      <c r="Z99" s="263"/>
      <c r="AB99" s="265" t="str">
        <f t="shared" si="14"/>
        <v/>
      </c>
    </row>
    <row r="100" spans="1:28" s="264" customFormat="1" ht="20.399999999999999">
      <c r="A100" s="207"/>
      <c r="B100" s="208"/>
      <c r="C100" s="212"/>
      <c r="D100" s="270"/>
      <c r="E100" s="208"/>
      <c r="F100" s="208"/>
      <c r="G100" s="208"/>
      <c r="H100" s="209"/>
      <c r="I100" s="210"/>
      <c r="J100" s="210"/>
      <c r="K100" s="260"/>
      <c r="L100" s="260"/>
      <c r="M100" s="260"/>
      <c r="N100" s="260"/>
      <c r="O100" s="260"/>
      <c r="P100" s="211"/>
      <c r="Q100" s="261"/>
      <c r="R100" s="208" t="str">
        <f ca="1">IF(ISERROR($V100),"",OFFSET('Smelter Look-up'!$C$4,$V100-4,0)&amp;"")</f>
        <v/>
      </c>
      <c r="S100" s="215" t="str">
        <f t="shared" ca="1" si="12"/>
        <v/>
      </c>
      <c r="T100" s="215" t="str">
        <f ca="1">IF(B100="","",IF(ISERROR(MATCH($J100,SorP!$B$1:$B$6230,0)),"",INDIRECT("'SorP'!$A$"&amp;MATCH($J100,SorP!$B$1:$B$6230,0))))</f>
        <v/>
      </c>
      <c r="U100" s="231"/>
      <c r="V100" s="262" t="e">
        <f>IF(C100="",NA(),IF(OR(C100="Smelter not listed",C100="Smelter not yet identified"),MATCH($B100&amp;$D100,'Smelter Look-up'!$J:$J,0),MATCH($B100&amp;$C100,'Smelter Look-up'!$J:$J,0)))</f>
        <v>#N/A</v>
      </c>
      <c r="W100" s="263"/>
      <c r="X100" s="263">
        <f t="shared" si="13"/>
        <v>0</v>
      </c>
      <c r="Y100" s="263"/>
      <c r="Z100" s="263"/>
      <c r="AB100" s="265" t="str">
        <f t="shared" si="14"/>
        <v/>
      </c>
    </row>
    <row r="101" spans="1:28" s="264" customFormat="1" ht="20.399999999999999">
      <c r="A101" s="207"/>
      <c r="B101" s="208"/>
      <c r="C101" s="212"/>
      <c r="D101" s="270"/>
      <c r="E101" s="208"/>
      <c r="F101" s="208"/>
      <c r="G101" s="208"/>
      <c r="H101" s="209"/>
      <c r="I101" s="210"/>
      <c r="J101" s="210"/>
      <c r="K101" s="260"/>
      <c r="L101" s="260"/>
      <c r="M101" s="260"/>
      <c r="N101" s="260"/>
      <c r="O101" s="260"/>
      <c r="P101" s="211"/>
      <c r="Q101" s="261"/>
      <c r="R101" s="208" t="str">
        <f ca="1">IF(ISERROR($V101),"",OFFSET('Smelter Look-up'!$C$4,$V101-4,0)&amp;"")</f>
        <v/>
      </c>
      <c r="S101" s="215" t="str">
        <f t="shared" ca="1" si="12"/>
        <v/>
      </c>
      <c r="T101" s="215" t="str">
        <f ca="1">IF(B101="","",IF(ISERROR(MATCH($J101,SorP!$B$1:$B$6230,0)),"",INDIRECT("'SorP'!$A$"&amp;MATCH($J101,SorP!$B$1:$B$6230,0))))</f>
        <v/>
      </c>
      <c r="U101" s="231"/>
      <c r="V101" s="262" t="e">
        <f>IF(C101="",NA(),IF(OR(C101="Smelter not listed",C101="Smelter not yet identified"),MATCH($B101&amp;$D101,'Smelter Look-up'!$J:$J,0),MATCH($B101&amp;$C101,'Smelter Look-up'!$J:$J,0)))</f>
        <v>#N/A</v>
      </c>
      <c r="W101" s="263"/>
      <c r="X101" s="263">
        <f t="shared" si="13"/>
        <v>0</v>
      </c>
      <c r="Y101" s="263"/>
      <c r="Z101" s="263"/>
      <c r="AB101" s="265" t="str">
        <f t="shared" si="14"/>
        <v/>
      </c>
    </row>
    <row r="102" spans="1:28" s="264" customFormat="1" ht="20.399999999999999">
      <c r="A102" s="207"/>
      <c r="B102" s="208"/>
      <c r="C102" s="212"/>
      <c r="D102" s="270"/>
      <c r="E102" s="208"/>
      <c r="F102" s="208"/>
      <c r="G102" s="208"/>
      <c r="H102" s="209"/>
      <c r="I102" s="210"/>
      <c r="J102" s="210"/>
      <c r="K102" s="260"/>
      <c r="L102" s="260"/>
      <c r="M102" s="260"/>
      <c r="N102" s="260"/>
      <c r="O102" s="260"/>
      <c r="P102" s="211"/>
      <c r="Q102" s="261"/>
      <c r="R102" s="208" t="str">
        <f ca="1">IF(ISERROR($V102),"",OFFSET('Smelter Look-up'!$C$4,$V102-4,0)&amp;"")</f>
        <v/>
      </c>
      <c r="S102" s="215" t="str">
        <f t="shared" ref="S102:S132" ca="1" si="15">IF(B102="","",IF(ISERROR(MATCH($E102,CL,0)),"Unknown",INDIRECT("'C'!$A$"&amp;MATCH($E102,CL,0)+1)))</f>
        <v/>
      </c>
      <c r="T102" s="215" t="str">
        <f ca="1">IF(B102="","",IF(ISERROR(MATCH($J102,SorP!$B$1:$B$6230,0)),"",INDIRECT("'SorP'!$A$"&amp;MATCH($J102,SorP!$B$1:$B$6230,0))))</f>
        <v/>
      </c>
      <c r="U102" s="231"/>
      <c r="V102" s="262" t="e">
        <f>IF(C102="",NA(),IF(OR(C102="Smelter not listed",C102="Smelter not yet identified"),MATCH($B102&amp;$D102,'Smelter Look-up'!$J:$J,0),MATCH($B102&amp;$C102,'Smelter Look-up'!$J:$J,0)))</f>
        <v>#N/A</v>
      </c>
      <c r="W102" s="263"/>
      <c r="X102" s="263">
        <f t="shared" ref="X102:X132" si="16">IF(AND(C102="Smelter not listed",OR(LEN(D102)=0,LEN(E102)=0)),1,0)</f>
        <v>0</v>
      </c>
      <c r="Y102" s="263"/>
      <c r="Z102" s="263"/>
      <c r="AB102" s="265" t="str">
        <f t="shared" ref="AB102:AB132" si="17">B102&amp;C102</f>
        <v/>
      </c>
    </row>
    <row r="103" spans="1:28" s="264" customFormat="1" ht="20.399999999999999">
      <c r="A103" s="207"/>
      <c r="B103" s="208"/>
      <c r="C103" s="212"/>
      <c r="D103" s="270"/>
      <c r="E103" s="208"/>
      <c r="F103" s="208"/>
      <c r="G103" s="208"/>
      <c r="H103" s="209"/>
      <c r="I103" s="210"/>
      <c r="J103" s="210"/>
      <c r="K103" s="260"/>
      <c r="L103" s="260"/>
      <c r="M103" s="260"/>
      <c r="N103" s="260"/>
      <c r="O103" s="260"/>
      <c r="P103" s="211"/>
      <c r="Q103" s="261"/>
      <c r="R103" s="208" t="str">
        <f ca="1">IF(ISERROR($V103),"",OFFSET('Smelter Look-up'!$C$4,$V103-4,0)&amp;"")</f>
        <v/>
      </c>
      <c r="S103" s="215" t="str">
        <f t="shared" ca="1" si="15"/>
        <v/>
      </c>
      <c r="T103" s="215" t="str">
        <f ca="1">IF(B103="","",IF(ISERROR(MATCH($J103,SorP!$B$1:$B$6230,0)),"",INDIRECT("'SorP'!$A$"&amp;MATCH($J103,SorP!$B$1:$B$6230,0))))</f>
        <v/>
      </c>
      <c r="U103" s="231"/>
      <c r="V103" s="262" t="e">
        <f>IF(C103="",NA(),IF(OR(C103="Smelter not listed",C103="Smelter not yet identified"),MATCH($B103&amp;$D103,'Smelter Look-up'!$J:$J,0),MATCH($B103&amp;$C103,'Smelter Look-up'!$J:$J,0)))</f>
        <v>#N/A</v>
      </c>
      <c r="W103" s="263"/>
      <c r="X103" s="263">
        <f t="shared" si="16"/>
        <v>0</v>
      </c>
      <c r="Y103" s="263"/>
      <c r="Z103" s="263"/>
      <c r="AB103" s="265" t="str">
        <f t="shared" si="17"/>
        <v/>
      </c>
    </row>
    <row r="104" spans="1:28" s="264" customFormat="1" ht="20.399999999999999">
      <c r="A104" s="207"/>
      <c r="B104" s="208"/>
      <c r="C104" s="212"/>
      <c r="D104" s="270"/>
      <c r="E104" s="208"/>
      <c r="F104" s="208"/>
      <c r="G104" s="208"/>
      <c r="H104" s="209"/>
      <c r="I104" s="210"/>
      <c r="J104" s="210"/>
      <c r="K104" s="260"/>
      <c r="L104" s="260"/>
      <c r="M104" s="260"/>
      <c r="N104" s="260"/>
      <c r="O104" s="260"/>
      <c r="P104" s="211"/>
      <c r="Q104" s="261"/>
      <c r="R104" s="208" t="str">
        <f ca="1">IF(ISERROR($V104),"",OFFSET('Smelter Look-up'!$C$4,$V104-4,0)&amp;"")</f>
        <v/>
      </c>
      <c r="S104" s="215" t="str">
        <f t="shared" ca="1" si="15"/>
        <v/>
      </c>
      <c r="T104" s="215" t="str">
        <f ca="1">IF(B104="","",IF(ISERROR(MATCH($J104,SorP!$B$1:$B$6230,0)),"",INDIRECT("'SorP'!$A$"&amp;MATCH($J104,SorP!$B$1:$B$6230,0))))</f>
        <v/>
      </c>
      <c r="U104" s="231"/>
      <c r="V104" s="262" t="e">
        <f>IF(C104="",NA(),IF(OR(C104="Smelter not listed",C104="Smelter not yet identified"),MATCH($B104&amp;$D104,'Smelter Look-up'!$J:$J,0),MATCH($B104&amp;$C104,'Smelter Look-up'!$J:$J,0)))</f>
        <v>#N/A</v>
      </c>
      <c r="W104" s="263"/>
      <c r="X104" s="263">
        <f t="shared" si="16"/>
        <v>0</v>
      </c>
      <c r="Y104" s="263"/>
      <c r="Z104" s="263"/>
      <c r="AB104" s="265" t="str">
        <f t="shared" si="17"/>
        <v/>
      </c>
    </row>
    <row r="105" spans="1:28" s="264" customFormat="1" ht="20.399999999999999">
      <c r="A105" s="207"/>
      <c r="B105" s="208"/>
      <c r="C105" s="212"/>
      <c r="D105" s="270"/>
      <c r="E105" s="208"/>
      <c r="F105" s="208"/>
      <c r="G105" s="208"/>
      <c r="H105" s="209"/>
      <c r="I105" s="210"/>
      <c r="J105" s="210"/>
      <c r="K105" s="260"/>
      <c r="L105" s="260"/>
      <c r="M105" s="260"/>
      <c r="N105" s="260"/>
      <c r="O105" s="260"/>
      <c r="P105" s="211"/>
      <c r="Q105" s="261"/>
      <c r="R105" s="208" t="str">
        <f ca="1">IF(ISERROR($V105),"",OFFSET('Smelter Look-up'!$C$4,$V105-4,0)&amp;"")</f>
        <v/>
      </c>
      <c r="S105" s="215" t="str">
        <f t="shared" ca="1" si="15"/>
        <v/>
      </c>
      <c r="T105" s="215" t="str">
        <f ca="1">IF(B105="","",IF(ISERROR(MATCH($J105,SorP!$B$1:$B$6230,0)),"",INDIRECT("'SorP'!$A$"&amp;MATCH($J105,SorP!$B$1:$B$6230,0))))</f>
        <v/>
      </c>
      <c r="U105" s="231"/>
      <c r="V105" s="262" t="e">
        <f>IF(C105="",NA(),IF(OR(C105="Smelter not listed",C105="Smelter not yet identified"),MATCH($B105&amp;$D105,'Smelter Look-up'!$J:$J,0),MATCH($B105&amp;$C105,'Smelter Look-up'!$J:$J,0)))</f>
        <v>#N/A</v>
      </c>
      <c r="W105" s="263"/>
      <c r="X105" s="263">
        <f t="shared" si="16"/>
        <v>0</v>
      </c>
      <c r="Y105" s="263"/>
      <c r="Z105" s="263"/>
      <c r="AB105" s="265" t="str">
        <f t="shared" si="17"/>
        <v/>
      </c>
    </row>
    <row r="106" spans="1:28" s="264" customFormat="1" ht="20.399999999999999">
      <c r="A106" s="207"/>
      <c r="B106" s="208"/>
      <c r="C106" s="212"/>
      <c r="D106" s="270"/>
      <c r="E106" s="208"/>
      <c r="F106" s="208"/>
      <c r="G106" s="208"/>
      <c r="H106" s="209"/>
      <c r="I106" s="210"/>
      <c r="J106" s="210"/>
      <c r="K106" s="260"/>
      <c r="L106" s="260"/>
      <c r="M106" s="260"/>
      <c r="N106" s="260"/>
      <c r="O106" s="260"/>
      <c r="P106" s="211"/>
      <c r="Q106" s="261"/>
      <c r="R106" s="208" t="str">
        <f ca="1">IF(ISERROR($V106),"",OFFSET('Smelter Look-up'!$C$4,$V106-4,0)&amp;"")</f>
        <v/>
      </c>
      <c r="S106" s="215" t="str">
        <f t="shared" ca="1" si="15"/>
        <v/>
      </c>
      <c r="T106" s="215" t="str">
        <f ca="1">IF(B106="","",IF(ISERROR(MATCH($J106,SorP!$B$1:$B$6230,0)),"",INDIRECT("'SorP'!$A$"&amp;MATCH($J106,SorP!$B$1:$B$6230,0))))</f>
        <v/>
      </c>
      <c r="U106" s="231"/>
      <c r="V106" s="262" t="e">
        <f>IF(C106="",NA(),IF(OR(C106="Smelter not listed",C106="Smelter not yet identified"),MATCH($B106&amp;$D106,'Smelter Look-up'!$J:$J,0),MATCH($B106&amp;$C106,'Smelter Look-up'!$J:$J,0)))</f>
        <v>#N/A</v>
      </c>
      <c r="W106" s="263"/>
      <c r="X106" s="263">
        <f t="shared" si="16"/>
        <v>0</v>
      </c>
      <c r="Y106" s="263"/>
      <c r="Z106" s="263"/>
      <c r="AB106" s="265" t="str">
        <f t="shared" si="17"/>
        <v/>
      </c>
    </row>
    <row r="107" spans="1:28" s="264" customFormat="1" ht="20.399999999999999">
      <c r="A107" s="207"/>
      <c r="B107" s="208"/>
      <c r="C107" s="212"/>
      <c r="D107" s="270"/>
      <c r="E107" s="208"/>
      <c r="F107" s="208"/>
      <c r="G107" s="208"/>
      <c r="H107" s="209"/>
      <c r="I107" s="210"/>
      <c r="J107" s="210"/>
      <c r="K107" s="260"/>
      <c r="L107" s="260"/>
      <c r="M107" s="260"/>
      <c r="N107" s="260"/>
      <c r="O107" s="260"/>
      <c r="P107" s="211"/>
      <c r="Q107" s="261"/>
      <c r="R107" s="208" t="str">
        <f ca="1">IF(ISERROR($V107),"",OFFSET('Smelter Look-up'!$C$4,$V107-4,0)&amp;"")</f>
        <v/>
      </c>
      <c r="S107" s="215" t="str">
        <f t="shared" ca="1" si="15"/>
        <v/>
      </c>
      <c r="T107" s="215" t="str">
        <f ca="1">IF(B107="","",IF(ISERROR(MATCH($J107,SorP!$B$1:$B$6230,0)),"",INDIRECT("'SorP'!$A$"&amp;MATCH($J107,SorP!$B$1:$B$6230,0))))</f>
        <v/>
      </c>
      <c r="U107" s="231"/>
      <c r="V107" s="262" t="e">
        <f>IF(C107="",NA(),IF(OR(C107="Smelter not listed",C107="Smelter not yet identified"),MATCH($B107&amp;$D107,'Smelter Look-up'!$J:$J,0),MATCH($B107&amp;$C107,'Smelter Look-up'!$J:$J,0)))</f>
        <v>#N/A</v>
      </c>
      <c r="W107" s="263"/>
      <c r="X107" s="263">
        <f t="shared" si="16"/>
        <v>0</v>
      </c>
      <c r="Y107" s="263"/>
      <c r="Z107" s="263"/>
      <c r="AB107" s="265" t="str">
        <f t="shared" si="17"/>
        <v/>
      </c>
    </row>
    <row r="108" spans="1:28" s="264" customFormat="1" ht="20.399999999999999">
      <c r="A108" s="207"/>
      <c r="B108" s="208"/>
      <c r="C108" s="212"/>
      <c r="D108" s="270"/>
      <c r="E108" s="208"/>
      <c r="F108" s="208"/>
      <c r="G108" s="208"/>
      <c r="H108" s="209"/>
      <c r="I108" s="210"/>
      <c r="J108" s="210"/>
      <c r="K108" s="260"/>
      <c r="L108" s="260"/>
      <c r="M108" s="260"/>
      <c r="N108" s="260"/>
      <c r="O108" s="260"/>
      <c r="P108" s="211"/>
      <c r="Q108" s="261"/>
      <c r="R108" s="208" t="str">
        <f ca="1">IF(ISERROR($V108),"",OFFSET('Smelter Look-up'!$C$4,$V108-4,0)&amp;"")</f>
        <v/>
      </c>
      <c r="S108" s="215" t="str">
        <f t="shared" ca="1" si="15"/>
        <v/>
      </c>
      <c r="T108" s="215" t="str">
        <f ca="1">IF(B108="","",IF(ISERROR(MATCH($J108,SorP!$B$1:$B$6230,0)),"",INDIRECT("'SorP'!$A$"&amp;MATCH($J108,SorP!$B$1:$B$6230,0))))</f>
        <v/>
      </c>
      <c r="U108" s="231"/>
      <c r="V108" s="262" t="e">
        <f>IF(C108="",NA(),IF(OR(C108="Smelter not listed",C108="Smelter not yet identified"),MATCH($B108&amp;$D108,'Smelter Look-up'!$J:$J,0),MATCH($B108&amp;$C108,'Smelter Look-up'!$J:$J,0)))</f>
        <v>#N/A</v>
      </c>
      <c r="W108" s="263"/>
      <c r="X108" s="263">
        <f t="shared" si="16"/>
        <v>0</v>
      </c>
      <c r="Y108" s="263"/>
      <c r="Z108" s="263"/>
      <c r="AB108" s="265" t="str">
        <f t="shared" si="17"/>
        <v/>
      </c>
    </row>
    <row r="109" spans="1:28" s="264" customFormat="1" ht="20.399999999999999">
      <c r="A109" s="207"/>
      <c r="B109" s="208"/>
      <c r="C109" s="212"/>
      <c r="D109" s="270"/>
      <c r="E109" s="208"/>
      <c r="F109" s="208"/>
      <c r="G109" s="208"/>
      <c r="H109" s="209"/>
      <c r="I109" s="210"/>
      <c r="J109" s="210"/>
      <c r="K109" s="260"/>
      <c r="L109" s="260"/>
      <c r="M109" s="260"/>
      <c r="N109" s="260"/>
      <c r="O109" s="260"/>
      <c r="P109" s="211"/>
      <c r="Q109" s="261"/>
      <c r="R109" s="208" t="str">
        <f ca="1">IF(ISERROR($V109),"",OFFSET('Smelter Look-up'!$C$4,$V109-4,0)&amp;"")</f>
        <v/>
      </c>
      <c r="S109" s="215" t="str">
        <f t="shared" ca="1" si="15"/>
        <v/>
      </c>
      <c r="T109" s="215" t="str">
        <f ca="1">IF(B109="","",IF(ISERROR(MATCH($J109,SorP!$B$1:$B$6230,0)),"",INDIRECT("'SorP'!$A$"&amp;MATCH($J109,SorP!$B$1:$B$6230,0))))</f>
        <v/>
      </c>
      <c r="U109" s="231"/>
      <c r="V109" s="262" t="e">
        <f>IF(C109="",NA(),IF(OR(C109="Smelter not listed",C109="Smelter not yet identified"),MATCH($B109&amp;$D109,'Smelter Look-up'!$J:$J,0),MATCH($B109&amp;$C109,'Smelter Look-up'!$J:$J,0)))</f>
        <v>#N/A</v>
      </c>
      <c r="W109" s="263"/>
      <c r="X109" s="263">
        <f t="shared" si="16"/>
        <v>0</v>
      </c>
      <c r="Y109" s="263"/>
      <c r="Z109" s="263"/>
      <c r="AB109" s="265" t="str">
        <f t="shared" si="17"/>
        <v/>
      </c>
    </row>
    <row r="110" spans="1:28" s="264" customFormat="1" ht="20.399999999999999">
      <c r="A110" s="207"/>
      <c r="B110" s="208"/>
      <c r="C110" s="212"/>
      <c r="D110" s="270"/>
      <c r="E110" s="208"/>
      <c r="F110" s="208"/>
      <c r="G110" s="208"/>
      <c r="H110" s="209"/>
      <c r="I110" s="210"/>
      <c r="J110" s="210"/>
      <c r="K110" s="260"/>
      <c r="L110" s="260"/>
      <c r="M110" s="260"/>
      <c r="N110" s="260"/>
      <c r="O110" s="260"/>
      <c r="P110" s="211"/>
      <c r="Q110" s="261"/>
      <c r="R110" s="208" t="str">
        <f ca="1">IF(ISERROR($V110),"",OFFSET('Smelter Look-up'!$C$4,$V110-4,0)&amp;"")</f>
        <v/>
      </c>
      <c r="S110" s="215" t="str">
        <f t="shared" ca="1" si="15"/>
        <v/>
      </c>
      <c r="T110" s="215" t="str">
        <f ca="1">IF(B110="","",IF(ISERROR(MATCH($J110,SorP!$B$1:$B$6230,0)),"",INDIRECT("'SorP'!$A$"&amp;MATCH($J110,SorP!$B$1:$B$6230,0))))</f>
        <v/>
      </c>
      <c r="U110" s="231"/>
      <c r="V110" s="262" t="e">
        <f>IF(C110="",NA(),IF(OR(C110="Smelter not listed",C110="Smelter not yet identified"),MATCH($B110&amp;$D110,'Smelter Look-up'!$J:$J,0),MATCH($B110&amp;$C110,'Smelter Look-up'!$J:$J,0)))</f>
        <v>#N/A</v>
      </c>
      <c r="W110" s="263"/>
      <c r="X110" s="263">
        <f t="shared" si="16"/>
        <v>0</v>
      </c>
      <c r="Y110" s="263"/>
      <c r="Z110" s="263"/>
      <c r="AB110" s="265" t="str">
        <f t="shared" si="17"/>
        <v/>
      </c>
    </row>
    <row r="111" spans="1:28" s="264" customFormat="1" ht="20.399999999999999">
      <c r="A111" s="207"/>
      <c r="B111" s="208"/>
      <c r="C111" s="212"/>
      <c r="D111" s="270"/>
      <c r="E111" s="208"/>
      <c r="F111" s="208"/>
      <c r="G111" s="208"/>
      <c r="H111" s="209"/>
      <c r="I111" s="210"/>
      <c r="J111" s="210"/>
      <c r="K111" s="260"/>
      <c r="L111" s="260"/>
      <c r="M111" s="260"/>
      <c r="N111" s="260"/>
      <c r="O111" s="260"/>
      <c r="P111" s="211"/>
      <c r="Q111" s="261"/>
      <c r="R111" s="208" t="str">
        <f ca="1">IF(ISERROR($V111),"",OFFSET('Smelter Look-up'!$C$4,$V111-4,0)&amp;"")</f>
        <v/>
      </c>
      <c r="S111" s="215" t="str">
        <f t="shared" ca="1" si="15"/>
        <v/>
      </c>
      <c r="T111" s="215" t="str">
        <f ca="1">IF(B111="","",IF(ISERROR(MATCH($J111,SorP!$B$1:$B$6230,0)),"",INDIRECT("'SorP'!$A$"&amp;MATCH($J111,SorP!$B$1:$B$6230,0))))</f>
        <v/>
      </c>
      <c r="U111" s="231"/>
      <c r="V111" s="262" t="e">
        <f>IF(C111="",NA(),IF(OR(C111="Smelter not listed",C111="Smelter not yet identified"),MATCH($B111&amp;$D111,'Smelter Look-up'!$J:$J,0),MATCH($B111&amp;$C111,'Smelter Look-up'!$J:$J,0)))</f>
        <v>#N/A</v>
      </c>
      <c r="W111" s="263"/>
      <c r="X111" s="263">
        <f t="shared" si="16"/>
        <v>0</v>
      </c>
      <c r="Y111" s="263"/>
      <c r="Z111" s="263"/>
      <c r="AB111" s="265" t="str">
        <f t="shared" si="17"/>
        <v/>
      </c>
    </row>
    <row r="112" spans="1:28" s="264" customFormat="1" ht="20.399999999999999">
      <c r="A112" s="207"/>
      <c r="B112" s="208"/>
      <c r="C112" s="212"/>
      <c r="D112" s="270"/>
      <c r="E112" s="208"/>
      <c r="F112" s="208"/>
      <c r="G112" s="208"/>
      <c r="H112" s="209"/>
      <c r="I112" s="210"/>
      <c r="J112" s="210"/>
      <c r="K112" s="260"/>
      <c r="L112" s="260"/>
      <c r="M112" s="260"/>
      <c r="N112" s="260"/>
      <c r="O112" s="260"/>
      <c r="P112" s="211"/>
      <c r="Q112" s="261"/>
      <c r="R112" s="208" t="str">
        <f ca="1">IF(ISERROR($V112),"",OFFSET('Smelter Look-up'!$C$4,$V112-4,0)&amp;"")</f>
        <v/>
      </c>
      <c r="S112" s="215" t="str">
        <f t="shared" ca="1" si="15"/>
        <v/>
      </c>
      <c r="T112" s="215" t="str">
        <f ca="1">IF(B112="","",IF(ISERROR(MATCH($J112,SorP!$B$1:$B$6230,0)),"",INDIRECT("'SorP'!$A$"&amp;MATCH($J112,SorP!$B$1:$B$6230,0))))</f>
        <v/>
      </c>
      <c r="U112" s="231"/>
      <c r="V112" s="262" t="e">
        <f>IF(C112="",NA(),IF(OR(C112="Smelter not listed",C112="Smelter not yet identified"),MATCH($B112&amp;$D112,'Smelter Look-up'!$J:$J,0),MATCH($B112&amp;$C112,'Smelter Look-up'!$J:$J,0)))</f>
        <v>#N/A</v>
      </c>
      <c r="W112" s="263"/>
      <c r="X112" s="263">
        <f t="shared" si="16"/>
        <v>0</v>
      </c>
      <c r="Y112" s="263"/>
      <c r="Z112" s="263"/>
      <c r="AB112" s="265" t="str">
        <f t="shared" si="17"/>
        <v/>
      </c>
    </row>
    <row r="113" spans="1:28" s="264" customFormat="1" ht="20.399999999999999">
      <c r="A113" s="207"/>
      <c r="B113" s="208"/>
      <c r="C113" s="212"/>
      <c r="D113" s="270"/>
      <c r="E113" s="208"/>
      <c r="F113" s="208"/>
      <c r="G113" s="208"/>
      <c r="H113" s="209"/>
      <c r="I113" s="210"/>
      <c r="J113" s="210"/>
      <c r="K113" s="260"/>
      <c r="L113" s="260"/>
      <c r="M113" s="260"/>
      <c r="N113" s="260"/>
      <c r="O113" s="260"/>
      <c r="P113" s="211"/>
      <c r="Q113" s="261"/>
      <c r="R113" s="208" t="str">
        <f ca="1">IF(ISERROR($V113),"",OFFSET('Smelter Look-up'!$C$4,$V113-4,0)&amp;"")</f>
        <v/>
      </c>
      <c r="S113" s="215" t="str">
        <f t="shared" ca="1" si="15"/>
        <v/>
      </c>
      <c r="T113" s="215" t="str">
        <f ca="1">IF(B113="","",IF(ISERROR(MATCH($J113,SorP!$B$1:$B$6230,0)),"",INDIRECT("'SorP'!$A$"&amp;MATCH($J113,SorP!$B$1:$B$6230,0))))</f>
        <v/>
      </c>
      <c r="U113" s="231"/>
      <c r="V113" s="262" t="e">
        <f>IF(C113="",NA(),IF(OR(C113="Smelter not listed",C113="Smelter not yet identified"),MATCH($B113&amp;$D113,'Smelter Look-up'!$J:$J,0),MATCH($B113&amp;$C113,'Smelter Look-up'!$J:$J,0)))</f>
        <v>#N/A</v>
      </c>
      <c r="W113" s="263"/>
      <c r="X113" s="263">
        <f t="shared" si="16"/>
        <v>0</v>
      </c>
      <c r="Y113" s="263"/>
      <c r="Z113" s="263"/>
      <c r="AB113" s="265" t="str">
        <f t="shared" si="17"/>
        <v/>
      </c>
    </row>
    <row r="114" spans="1:28" s="264" customFormat="1" ht="20.399999999999999">
      <c r="A114" s="207"/>
      <c r="B114" s="208"/>
      <c r="C114" s="212"/>
      <c r="D114" s="270"/>
      <c r="E114" s="208"/>
      <c r="F114" s="208"/>
      <c r="G114" s="208"/>
      <c r="H114" s="209"/>
      <c r="I114" s="210"/>
      <c r="J114" s="210"/>
      <c r="K114" s="260"/>
      <c r="L114" s="260"/>
      <c r="M114" s="260"/>
      <c r="N114" s="260"/>
      <c r="O114" s="260"/>
      <c r="P114" s="211"/>
      <c r="Q114" s="261"/>
      <c r="R114" s="208" t="str">
        <f ca="1">IF(ISERROR($V114),"",OFFSET('Smelter Look-up'!$C$4,$V114-4,0)&amp;"")</f>
        <v/>
      </c>
      <c r="S114" s="215" t="str">
        <f t="shared" ca="1" si="15"/>
        <v/>
      </c>
      <c r="T114" s="215" t="str">
        <f ca="1">IF(B114="","",IF(ISERROR(MATCH($J114,SorP!$B$1:$B$6230,0)),"",INDIRECT("'SorP'!$A$"&amp;MATCH($J114,SorP!$B$1:$B$6230,0))))</f>
        <v/>
      </c>
      <c r="U114" s="231"/>
      <c r="V114" s="262" t="e">
        <f>IF(C114="",NA(),IF(OR(C114="Smelter not listed",C114="Smelter not yet identified"),MATCH($B114&amp;$D114,'Smelter Look-up'!$J:$J,0),MATCH($B114&amp;$C114,'Smelter Look-up'!$J:$J,0)))</f>
        <v>#N/A</v>
      </c>
      <c r="W114" s="263"/>
      <c r="X114" s="263">
        <f t="shared" si="16"/>
        <v>0</v>
      </c>
      <c r="Y114" s="263"/>
      <c r="Z114" s="263"/>
      <c r="AB114" s="265" t="str">
        <f t="shared" si="17"/>
        <v/>
      </c>
    </row>
    <row r="115" spans="1:28" s="264" customFormat="1" ht="20.399999999999999">
      <c r="A115" s="207"/>
      <c r="B115" s="208"/>
      <c r="C115" s="212"/>
      <c r="D115" s="270"/>
      <c r="E115" s="208"/>
      <c r="F115" s="208"/>
      <c r="G115" s="208"/>
      <c r="H115" s="209"/>
      <c r="I115" s="210"/>
      <c r="J115" s="210"/>
      <c r="K115" s="260"/>
      <c r="L115" s="260"/>
      <c r="M115" s="260"/>
      <c r="N115" s="260"/>
      <c r="O115" s="260"/>
      <c r="P115" s="211"/>
      <c r="Q115" s="261"/>
      <c r="R115" s="208" t="str">
        <f ca="1">IF(ISERROR($V115),"",OFFSET('Smelter Look-up'!$C$4,$V115-4,0)&amp;"")</f>
        <v/>
      </c>
      <c r="S115" s="215" t="str">
        <f t="shared" ca="1" si="15"/>
        <v/>
      </c>
      <c r="T115" s="215" t="str">
        <f ca="1">IF(B115="","",IF(ISERROR(MATCH($J115,SorP!$B$1:$B$6230,0)),"",INDIRECT("'SorP'!$A$"&amp;MATCH($J115,SorP!$B$1:$B$6230,0))))</f>
        <v/>
      </c>
      <c r="U115" s="231"/>
      <c r="V115" s="262" t="e">
        <f>IF(C115="",NA(),IF(OR(C115="Smelter not listed",C115="Smelter not yet identified"),MATCH($B115&amp;$D115,'Smelter Look-up'!$J:$J,0),MATCH($B115&amp;$C115,'Smelter Look-up'!$J:$J,0)))</f>
        <v>#N/A</v>
      </c>
      <c r="W115" s="263"/>
      <c r="X115" s="263">
        <f t="shared" si="16"/>
        <v>0</v>
      </c>
      <c r="Y115" s="263"/>
      <c r="Z115" s="263"/>
      <c r="AB115" s="265" t="str">
        <f t="shared" si="17"/>
        <v/>
      </c>
    </row>
    <row r="116" spans="1:28" s="264" customFormat="1" ht="20.399999999999999">
      <c r="A116" s="207"/>
      <c r="B116" s="208"/>
      <c r="C116" s="212"/>
      <c r="D116" s="270"/>
      <c r="E116" s="208"/>
      <c r="F116" s="208"/>
      <c r="G116" s="208"/>
      <c r="H116" s="209"/>
      <c r="I116" s="210"/>
      <c r="J116" s="210"/>
      <c r="K116" s="260"/>
      <c r="L116" s="260"/>
      <c r="M116" s="260"/>
      <c r="N116" s="260"/>
      <c r="O116" s="260"/>
      <c r="P116" s="211"/>
      <c r="Q116" s="261"/>
      <c r="R116" s="208" t="str">
        <f ca="1">IF(ISERROR($V116),"",OFFSET('Smelter Look-up'!$C$4,$V116-4,0)&amp;"")</f>
        <v/>
      </c>
      <c r="S116" s="215" t="str">
        <f t="shared" ca="1" si="15"/>
        <v/>
      </c>
      <c r="T116" s="215" t="str">
        <f ca="1">IF(B116="","",IF(ISERROR(MATCH($J116,SorP!$B$1:$B$6230,0)),"",INDIRECT("'SorP'!$A$"&amp;MATCH($J116,SorP!$B$1:$B$6230,0))))</f>
        <v/>
      </c>
      <c r="U116" s="231"/>
      <c r="V116" s="262" t="e">
        <f>IF(C116="",NA(),IF(OR(C116="Smelter not listed",C116="Smelter not yet identified"),MATCH($B116&amp;$D116,'Smelter Look-up'!$J:$J,0),MATCH($B116&amp;$C116,'Smelter Look-up'!$J:$J,0)))</f>
        <v>#N/A</v>
      </c>
      <c r="W116" s="263"/>
      <c r="X116" s="263">
        <f t="shared" si="16"/>
        <v>0</v>
      </c>
      <c r="Y116" s="263"/>
      <c r="Z116" s="263"/>
      <c r="AB116" s="265" t="str">
        <f t="shared" si="17"/>
        <v/>
      </c>
    </row>
    <row r="117" spans="1:28" s="264" customFormat="1" ht="20.399999999999999">
      <c r="A117" s="207"/>
      <c r="B117" s="208"/>
      <c r="C117" s="212"/>
      <c r="D117" s="270"/>
      <c r="E117" s="208"/>
      <c r="F117" s="208"/>
      <c r="G117" s="208"/>
      <c r="H117" s="209"/>
      <c r="I117" s="210"/>
      <c r="J117" s="210"/>
      <c r="K117" s="260"/>
      <c r="L117" s="260"/>
      <c r="M117" s="260"/>
      <c r="N117" s="260"/>
      <c r="O117" s="260"/>
      <c r="P117" s="211"/>
      <c r="Q117" s="261"/>
      <c r="R117" s="208" t="str">
        <f ca="1">IF(ISERROR($V117),"",OFFSET('Smelter Look-up'!$C$4,$V117-4,0)&amp;"")</f>
        <v/>
      </c>
      <c r="S117" s="215" t="str">
        <f t="shared" ca="1" si="15"/>
        <v/>
      </c>
      <c r="T117" s="215" t="str">
        <f ca="1">IF(B117="","",IF(ISERROR(MATCH($J117,SorP!$B$1:$B$6230,0)),"",INDIRECT("'SorP'!$A$"&amp;MATCH($J117,SorP!$B$1:$B$6230,0))))</f>
        <v/>
      </c>
      <c r="U117" s="231"/>
      <c r="V117" s="262" t="e">
        <f>IF(C117="",NA(),IF(OR(C117="Smelter not listed",C117="Smelter not yet identified"),MATCH($B117&amp;$D117,'Smelter Look-up'!$J:$J,0),MATCH($B117&amp;$C117,'Smelter Look-up'!$J:$J,0)))</f>
        <v>#N/A</v>
      </c>
      <c r="W117" s="263"/>
      <c r="X117" s="263">
        <f t="shared" si="16"/>
        <v>0</v>
      </c>
      <c r="Y117" s="263"/>
      <c r="Z117" s="263"/>
      <c r="AB117" s="265" t="str">
        <f t="shared" si="17"/>
        <v/>
      </c>
    </row>
    <row r="118" spans="1:28" s="264" customFormat="1" ht="20.399999999999999">
      <c r="A118" s="207"/>
      <c r="B118" s="208"/>
      <c r="C118" s="212"/>
      <c r="D118" s="270"/>
      <c r="E118" s="208"/>
      <c r="F118" s="208"/>
      <c r="G118" s="208"/>
      <c r="H118" s="209"/>
      <c r="I118" s="210"/>
      <c r="J118" s="210"/>
      <c r="K118" s="260"/>
      <c r="L118" s="260"/>
      <c r="M118" s="260"/>
      <c r="N118" s="260"/>
      <c r="O118" s="260"/>
      <c r="P118" s="211"/>
      <c r="Q118" s="261"/>
      <c r="R118" s="208" t="str">
        <f ca="1">IF(ISERROR($V118),"",OFFSET('Smelter Look-up'!$C$4,$V118-4,0)&amp;"")</f>
        <v/>
      </c>
      <c r="S118" s="215" t="str">
        <f t="shared" ca="1" si="15"/>
        <v/>
      </c>
      <c r="T118" s="215" t="str">
        <f ca="1">IF(B118="","",IF(ISERROR(MATCH($J118,SorP!$B$1:$B$6230,0)),"",INDIRECT("'SorP'!$A$"&amp;MATCH($J118,SorP!$B$1:$B$6230,0))))</f>
        <v/>
      </c>
      <c r="U118" s="231"/>
      <c r="V118" s="262" t="e">
        <f>IF(C118="",NA(),IF(OR(C118="Smelter not listed",C118="Smelter not yet identified"),MATCH($B118&amp;$D118,'Smelter Look-up'!$J:$J,0),MATCH($B118&amp;$C118,'Smelter Look-up'!$J:$J,0)))</f>
        <v>#N/A</v>
      </c>
      <c r="W118" s="263"/>
      <c r="X118" s="263">
        <f t="shared" si="16"/>
        <v>0</v>
      </c>
      <c r="Y118" s="263"/>
      <c r="Z118" s="263"/>
      <c r="AB118" s="265" t="str">
        <f t="shared" si="17"/>
        <v/>
      </c>
    </row>
    <row r="119" spans="1:28" s="264" customFormat="1" ht="20.399999999999999">
      <c r="A119" s="207"/>
      <c r="B119" s="208"/>
      <c r="C119" s="212"/>
      <c r="D119" s="270"/>
      <c r="E119" s="208"/>
      <c r="F119" s="208"/>
      <c r="G119" s="208"/>
      <c r="H119" s="209"/>
      <c r="I119" s="210"/>
      <c r="J119" s="210"/>
      <c r="K119" s="260"/>
      <c r="L119" s="260"/>
      <c r="M119" s="260"/>
      <c r="N119" s="260"/>
      <c r="O119" s="260"/>
      <c r="P119" s="211"/>
      <c r="Q119" s="261"/>
      <c r="R119" s="208" t="str">
        <f ca="1">IF(ISERROR($V119),"",OFFSET('Smelter Look-up'!$C$4,$V119-4,0)&amp;"")</f>
        <v/>
      </c>
      <c r="S119" s="215" t="str">
        <f t="shared" ca="1" si="15"/>
        <v/>
      </c>
      <c r="T119" s="215" t="str">
        <f ca="1">IF(B119="","",IF(ISERROR(MATCH($J119,SorP!$B$1:$B$6230,0)),"",INDIRECT("'SorP'!$A$"&amp;MATCH($J119,SorP!$B$1:$B$6230,0))))</f>
        <v/>
      </c>
      <c r="U119" s="231"/>
      <c r="V119" s="262" t="e">
        <f>IF(C119="",NA(),IF(OR(C119="Smelter not listed",C119="Smelter not yet identified"),MATCH($B119&amp;$D119,'Smelter Look-up'!$J:$J,0),MATCH($B119&amp;$C119,'Smelter Look-up'!$J:$J,0)))</f>
        <v>#N/A</v>
      </c>
      <c r="W119" s="263"/>
      <c r="X119" s="263">
        <f t="shared" si="16"/>
        <v>0</v>
      </c>
      <c r="Y119" s="263"/>
      <c r="Z119" s="263"/>
      <c r="AB119" s="265" t="str">
        <f t="shared" si="17"/>
        <v/>
      </c>
    </row>
    <row r="120" spans="1:28" s="264" customFormat="1" ht="20.399999999999999">
      <c r="A120" s="207"/>
      <c r="B120" s="208"/>
      <c r="C120" s="212"/>
      <c r="D120" s="270"/>
      <c r="E120" s="208"/>
      <c r="F120" s="208"/>
      <c r="G120" s="208"/>
      <c r="H120" s="209"/>
      <c r="I120" s="210"/>
      <c r="J120" s="210"/>
      <c r="K120" s="260"/>
      <c r="L120" s="260"/>
      <c r="M120" s="260"/>
      <c r="N120" s="260"/>
      <c r="O120" s="260"/>
      <c r="P120" s="211"/>
      <c r="Q120" s="261"/>
      <c r="R120" s="208" t="str">
        <f ca="1">IF(ISERROR($V120),"",OFFSET('Smelter Look-up'!$C$4,$V120-4,0)&amp;"")</f>
        <v/>
      </c>
      <c r="S120" s="215" t="str">
        <f t="shared" ca="1" si="15"/>
        <v/>
      </c>
      <c r="T120" s="215" t="str">
        <f ca="1">IF(B120="","",IF(ISERROR(MATCH($J120,SorP!$B$1:$B$6230,0)),"",INDIRECT("'SorP'!$A$"&amp;MATCH($J120,SorP!$B$1:$B$6230,0))))</f>
        <v/>
      </c>
      <c r="U120" s="231"/>
      <c r="V120" s="262" t="e">
        <f>IF(C120="",NA(),IF(OR(C120="Smelter not listed",C120="Smelter not yet identified"),MATCH($B120&amp;$D120,'Smelter Look-up'!$J:$J,0),MATCH($B120&amp;$C120,'Smelter Look-up'!$J:$J,0)))</f>
        <v>#N/A</v>
      </c>
      <c r="W120" s="263"/>
      <c r="X120" s="263">
        <f t="shared" si="16"/>
        <v>0</v>
      </c>
      <c r="Y120" s="263"/>
      <c r="Z120" s="263"/>
      <c r="AB120" s="265" t="str">
        <f t="shared" si="17"/>
        <v/>
      </c>
    </row>
    <row r="121" spans="1:28" s="264" customFormat="1" ht="20.399999999999999">
      <c r="A121" s="207"/>
      <c r="B121" s="208"/>
      <c r="C121" s="212"/>
      <c r="D121" s="270"/>
      <c r="E121" s="208"/>
      <c r="F121" s="208"/>
      <c r="G121" s="208"/>
      <c r="H121" s="209"/>
      <c r="I121" s="210"/>
      <c r="J121" s="210"/>
      <c r="K121" s="260"/>
      <c r="L121" s="260"/>
      <c r="M121" s="260"/>
      <c r="N121" s="260"/>
      <c r="O121" s="260"/>
      <c r="P121" s="211"/>
      <c r="Q121" s="261"/>
      <c r="R121" s="208" t="str">
        <f ca="1">IF(ISERROR($V121),"",OFFSET('Smelter Look-up'!$C$4,$V121-4,0)&amp;"")</f>
        <v/>
      </c>
      <c r="S121" s="215" t="str">
        <f t="shared" ca="1" si="15"/>
        <v/>
      </c>
      <c r="T121" s="215" t="str">
        <f ca="1">IF(B121="","",IF(ISERROR(MATCH($J121,SorP!$B$1:$B$6230,0)),"",INDIRECT("'SorP'!$A$"&amp;MATCH($J121,SorP!$B$1:$B$6230,0))))</f>
        <v/>
      </c>
      <c r="U121" s="231"/>
      <c r="V121" s="262" t="e">
        <f>IF(C121="",NA(),IF(OR(C121="Smelter not listed",C121="Smelter not yet identified"),MATCH($B121&amp;$D121,'Smelter Look-up'!$J:$J,0),MATCH($B121&amp;$C121,'Smelter Look-up'!$J:$J,0)))</f>
        <v>#N/A</v>
      </c>
      <c r="W121" s="263"/>
      <c r="X121" s="263">
        <f t="shared" si="16"/>
        <v>0</v>
      </c>
      <c r="Y121" s="263"/>
      <c r="Z121" s="263"/>
      <c r="AB121" s="265" t="str">
        <f t="shared" si="17"/>
        <v/>
      </c>
    </row>
    <row r="122" spans="1:28" s="264" customFormat="1" ht="20.399999999999999">
      <c r="A122" s="207"/>
      <c r="B122" s="208"/>
      <c r="C122" s="212"/>
      <c r="D122" s="270"/>
      <c r="E122" s="208"/>
      <c r="F122" s="208"/>
      <c r="G122" s="208"/>
      <c r="H122" s="209"/>
      <c r="I122" s="210"/>
      <c r="J122" s="210"/>
      <c r="K122" s="260"/>
      <c r="L122" s="260"/>
      <c r="M122" s="260"/>
      <c r="N122" s="260"/>
      <c r="O122" s="260"/>
      <c r="P122" s="211"/>
      <c r="Q122" s="261"/>
      <c r="R122" s="208" t="str">
        <f ca="1">IF(ISERROR($V122),"",OFFSET('Smelter Look-up'!$C$4,$V122-4,0)&amp;"")</f>
        <v/>
      </c>
      <c r="S122" s="215" t="str">
        <f t="shared" ca="1" si="15"/>
        <v/>
      </c>
      <c r="T122" s="215" t="str">
        <f ca="1">IF(B122="","",IF(ISERROR(MATCH($J122,SorP!$B$1:$B$6230,0)),"",INDIRECT("'SorP'!$A$"&amp;MATCH($J122,SorP!$B$1:$B$6230,0))))</f>
        <v/>
      </c>
      <c r="U122" s="231"/>
      <c r="V122" s="262" t="e">
        <f>IF(C122="",NA(),IF(OR(C122="Smelter not listed",C122="Smelter not yet identified"),MATCH($B122&amp;$D122,'Smelter Look-up'!$J:$J,0),MATCH($B122&amp;$C122,'Smelter Look-up'!$J:$J,0)))</f>
        <v>#N/A</v>
      </c>
      <c r="W122" s="263"/>
      <c r="X122" s="263">
        <f t="shared" si="16"/>
        <v>0</v>
      </c>
      <c r="Y122" s="263"/>
      <c r="Z122" s="263"/>
      <c r="AB122" s="265" t="str">
        <f t="shared" si="17"/>
        <v/>
      </c>
    </row>
    <row r="123" spans="1:28" s="264" customFormat="1" ht="20.399999999999999">
      <c r="A123" s="207"/>
      <c r="B123" s="208"/>
      <c r="C123" s="212"/>
      <c r="D123" s="270"/>
      <c r="E123" s="208"/>
      <c r="F123" s="208"/>
      <c r="G123" s="208"/>
      <c r="H123" s="209"/>
      <c r="I123" s="210"/>
      <c r="J123" s="210"/>
      <c r="K123" s="260"/>
      <c r="L123" s="260"/>
      <c r="M123" s="260"/>
      <c r="N123" s="260"/>
      <c r="O123" s="260"/>
      <c r="P123" s="211"/>
      <c r="Q123" s="261"/>
      <c r="R123" s="208" t="str">
        <f ca="1">IF(ISERROR($V123),"",OFFSET('Smelter Look-up'!$C$4,$V123-4,0)&amp;"")</f>
        <v/>
      </c>
      <c r="S123" s="215" t="str">
        <f t="shared" ca="1" si="15"/>
        <v/>
      </c>
      <c r="T123" s="215" t="str">
        <f ca="1">IF(B123="","",IF(ISERROR(MATCH($J123,SorP!$B$1:$B$6230,0)),"",INDIRECT("'SorP'!$A$"&amp;MATCH($J123,SorP!$B$1:$B$6230,0))))</f>
        <v/>
      </c>
      <c r="U123" s="231"/>
      <c r="V123" s="262" t="e">
        <f>IF(C123="",NA(),IF(OR(C123="Smelter not listed",C123="Smelter not yet identified"),MATCH($B123&amp;$D123,'Smelter Look-up'!$J:$J,0),MATCH($B123&amp;$C123,'Smelter Look-up'!$J:$J,0)))</f>
        <v>#N/A</v>
      </c>
      <c r="W123" s="263"/>
      <c r="X123" s="263">
        <f t="shared" si="16"/>
        <v>0</v>
      </c>
      <c r="Y123" s="263"/>
      <c r="Z123" s="263"/>
      <c r="AB123" s="265" t="str">
        <f t="shared" si="17"/>
        <v/>
      </c>
    </row>
    <row r="124" spans="1:28" s="264" customFormat="1" ht="20.399999999999999">
      <c r="A124" s="207"/>
      <c r="B124" s="208"/>
      <c r="C124" s="212"/>
      <c r="D124" s="270"/>
      <c r="E124" s="208"/>
      <c r="F124" s="208"/>
      <c r="G124" s="208"/>
      <c r="H124" s="209"/>
      <c r="I124" s="210"/>
      <c r="J124" s="210"/>
      <c r="K124" s="260"/>
      <c r="L124" s="260"/>
      <c r="M124" s="260"/>
      <c r="N124" s="260"/>
      <c r="O124" s="260"/>
      <c r="P124" s="211"/>
      <c r="Q124" s="261"/>
      <c r="R124" s="208" t="str">
        <f ca="1">IF(ISERROR($V124),"",OFFSET('Smelter Look-up'!$C$4,$V124-4,0)&amp;"")</f>
        <v/>
      </c>
      <c r="S124" s="215" t="str">
        <f t="shared" ca="1" si="15"/>
        <v/>
      </c>
      <c r="T124" s="215" t="str">
        <f ca="1">IF(B124="","",IF(ISERROR(MATCH($J124,SorP!$B$1:$B$6230,0)),"",INDIRECT("'SorP'!$A$"&amp;MATCH($J124,SorP!$B$1:$B$6230,0))))</f>
        <v/>
      </c>
      <c r="U124" s="231"/>
      <c r="V124" s="262" t="e">
        <f>IF(C124="",NA(),IF(OR(C124="Smelter not listed",C124="Smelter not yet identified"),MATCH($B124&amp;$D124,'Smelter Look-up'!$J:$J,0),MATCH($B124&amp;$C124,'Smelter Look-up'!$J:$J,0)))</f>
        <v>#N/A</v>
      </c>
      <c r="W124" s="263"/>
      <c r="X124" s="263">
        <f t="shared" si="16"/>
        <v>0</v>
      </c>
      <c r="Y124" s="263"/>
      <c r="Z124" s="263"/>
      <c r="AB124" s="265" t="str">
        <f t="shared" si="17"/>
        <v/>
      </c>
    </row>
    <row r="125" spans="1:28" s="264" customFormat="1" ht="20.399999999999999">
      <c r="A125" s="207"/>
      <c r="B125" s="208"/>
      <c r="C125" s="212"/>
      <c r="D125" s="270"/>
      <c r="E125" s="208"/>
      <c r="F125" s="208"/>
      <c r="G125" s="208"/>
      <c r="H125" s="209"/>
      <c r="I125" s="210"/>
      <c r="J125" s="210"/>
      <c r="K125" s="260"/>
      <c r="L125" s="260"/>
      <c r="M125" s="260"/>
      <c r="N125" s="260"/>
      <c r="O125" s="260"/>
      <c r="P125" s="211"/>
      <c r="Q125" s="261"/>
      <c r="R125" s="208" t="str">
        <f ca="1">IF(ISERROR($V125),"",OFFSET('Smelter Look-up'!$C$4,$V125-4,0)&amp;"")</f>
        <v/>
      </c>
      <c r="S125" s="215" t="str">
        <f t="shared" ca="1" si="15"/>
        <v/>
      </c>
      <c r="T125" s="215" t="str">
        <f ca="1">IF(B125="","",IF(ISERROR(MATCH($J125,SorP!$B$1:$B$6230,0)),"",INDIRECT("'SorP'!$A$"&amp;MATCH($J125,SorP!$B$1:$B$6230,0))))</f>
        <v/>
      </c>
      <c r="U125" s="231"/>
      <c r="V125" s="262" t="e">
        <f>IF(C125="",NA(),IF(OR(C125="Smelter not listed",C125="Smelter not yet identified"),MATCH($B125&amp;$D125,'Smelter Look-up'!$J:$J,0),MATCH($B125&amp;$C125,'Smelter Look-up'!$J:$J,0)))</f>
        <v>#N/A</v>
      </c>
      <c r="W125" s="263"/>
      <c r="X125" s="263">
        <f t="shared" si="16"/>
        <v>0</v>
      </c>
      <c r="Y125" s="263"/>
      <c r="Z125" s="263"/>
      <c r="AB125" s="265" t="str">
        <f t="shared" si="17"/>
        <v/>
      </c>
    </row>
    <row r="126" spans="1:28" s="264" customFormat="1" ht="20.399999999999999">
      <c r="A126" s="207"/>
      <c r="B126" s="208"/>
      <c r="C126" s="212"/>
      <c r="D126" s="270"/>
      <c r="E126" s="208"/>
      <c r="F126" s="208"/>
      <c r="G126" s="208"/>
      <c r="H126" s="209"/>
      <c r="I126" s="210"/>
      <c r="J126" s="210"/>
      <c r="K126" s="260"/>
      <c r="L126" s="260"/>
      <c r="M126" s="260"/>
      <c r="N126" s="260"/>
      <c r="O126" s="260"/>
      <c r="P126" s="211"/>
      <c r="Q126" s="261"/>
      <c r="R126" s="208" t="str">
        <f ca="1">IF(ISERROR($V126),"",OFFSET('Smelter Look-up'!$C$4,$V126-4,0)&amp;"")</f>
        <v/>
      </c>
      <c r="S126" s="215" t="str">
        <f t="shared" ca="1" si="15"/>
        <v/>
      </c>
      <c r="T126" s="215" t="str">
        <f ca="1">IF(B126="","",IF(ISERROR(MATCH($J126,SorP!$B$1:$B$6230,0)),"",INDIRECT("'SorP'!$A$"&amp;MATCH($J126,SorP!$B$1:$B$6230,0))))</f>
        <v/>
      </c>
      <c r="U126" s="231"/>
      <c r="V126" s="262" t="e">
        <f>IF(C126="",NA(),IF(OR(C126="Smelter not listed",C126="Smelter not yet identified"),MATCH($B126&amp;$D126,'Smelter Look-up'!$J:$J,0),MATCH($B126&amp;$C126,'Smelter Look-up'!$J:$J,0)))</f>
        <v>#N/A</v>
      </c>
      <c r="W126" s="263"/>
      <c r="X126" s="263">
        <f t="shared" si="16"/>
        <v>0</v>
      </c>
      <c r="Y126" s="263"/>
      <c r="Z126" s="263"/>
      <c r="AB126" s="265" t="str">
        <f t="shared" si="17"/>
        <v/>
      </c>
    </row>
    <row r="127" spans="1:28" s="264" customFormat="1" ht="20.399999999999999">
      <c r="A127" s="207"/>
      <c r="B127" s="208"/>
      <c r="C127" s="212"/>
      <c r="D127" s="270"/>
      <c r="E127" s="208"/>
      <c r="F127" s="208"/>
      <c r="G127" s="208"/>
      <c r="H127" s="209"/>
      <c r="I127" s="210"/>
      <c r="J127" s="210"/>
      <c r="K127" s="260"/>
      <c r="L127" s="260"/>
      <c r="M127" s="260"/>
      <c r="N127" s="260"/>
      <c r="O127" s="260"/>
      <c r="P127" s="211"/>
      <c r="Q127" s="261"/>
      <c r="R127" s="208" t="str">
        <f ca="1">IF(ISERROR($V127),"",OFFSET('Smelter Look-up'!$C$4,$V127-4,0)&amp;"")</f>
        <v/>
      </c>
      <c r="S127" s="215" t="str">
        <f t="shared" ca="1" si="15"/>
        <v/>
      </c>
      <c r="T127" s="215" t="str">
        <f ca="1">IF(B127="","",IF(ISERROR(MATCH($J127,SorP!$B$1:$B$6230,0)),"",INDIRECT("'SorP'!$A$"&amp;MATCH($J127,SorP!$B$1:$B$6230,0))))</f>
        <v/>
      </c>
      <c r="U127" s="231"/>
      <c r="V127" s="262" t="e">
        <f>IF(C127="",NA(),IF(OR(C127="Smelter not listed",C127="Smelter not yet identified"),MATCH($B127&amp;$D127,'Smelter Look-up'!$J:$J,0),MATCH($B127&amp;$C127,'Smelter Look-up'!$J:$J,0)))</f>
        <v>#N/A</v>
      </c>
      <c r="W127" s="263"/>
      <c r="X127" s="263">
        <f t="shared" si="16"/>
        <v>0</v>
      </c>
      <c r="Y127" s="263"/>
      <c r="Z127" s="263"/>
      <c r="AB127" s="265" t="str">
        <f t="shared" si="17"/>
        <v/>
      </c>
    </row>
    <row r="128" spans="1:28" s="264" customFormat="1" ht="20.399999999999999">
      <c r="A128" s="207"/>
      <c r="B128" s="208"/>
      <c r="C128" s="212"/>
      <c r="D128" s="270"/>
      <c r="E128" s="208"/>
      <c r="F128" s="208"/>
      <c r="G128" s="208"/>
      <c r="H128" s="209"/>
      <c r="I128" s="210"/>
      <c r="J128" s="210"/>
      <c r="K128" s="260"/>
      <c r="L128" s="260"/>
      <c r="M128" s="260"/>
      <c r="N128" s="260"/>
      <c r="O128" s="260"/>
      <c r="P128" s="211"/>
      <c r="Q128" s="261"/>
      <c r="R128" s="208" t="str">
        <f ca="1">IF(ISERROR($V128),"",OFFSET('Smelter Look-up'!$C$4,$V128-4,0)&amp;"")</f>
        <v/>
      </c>
      <c r="S128" s="215" t="str">
        <f t="shared" ca="1" si="15"/>
        <v/>
      </c>
      <c r="T128" s="215" t="str">
        <f ca="1">IF(B128="","",IF(ISERROR(MATCH($J128,SorP!$B$1:$B$6230,0)),"",INDIRECT("'SorP'!$A$"&amp;MATCH($J128,SorP!$B$1:$B$6230,0))))</f>
        <v/>
      </c>
      <c r="U128" s="231"/>
      <c r="V128" s="262" t="e">
        <f>IF(C128="",NA(),IF(OR(C128="Smelter not listed",C128="Smelter not yet identified"),MATCH($B128&amp;$D128,'Smelter Look-up'!$J:$J,0),MATCH($B128&amp;$C128,'Smelter Look-up'!$J:$J,0)))</f>
        <v>#N/A</v>
      </c>
      <c r="W128" s="263"/>
      <c r="X128" s="263">
        <f t="shared" si="16"/>
        <v>0</v>
      </c>
      <c r="Y128" s="263"/>
      <c r="Z128" s="263"/>
      <c r="AB128" s="265" t="str">
        <f t="shared" si="17"/>
        <v/>
      </c>
    </row>
    <row r="129" spans="1:28" s="264" customFormat="1" ht="20.399999999999999">
      <c r="A129" s="207"/>
      <c r="B129" s="208"/>
      <c r="C129" s="212"/>
      <c r="D129" s="270"/>
      <c r="E129" s="208"/>
      <c r="F129" s="208"/>
      <c r="G129" s="208"/>
      <c r="H129" s="209"/>
      <c r="I129" s="210"/>
      <c r="J129" s="210"/>
      <c r="K129" s="260"/>
      <c r="L129" s="260"/>
      <c r="M129" s="260"/>
      <c r="N129" s="260"/>
      <c r="O129" s="260"/>
      <c r="P129" s="211"/>
      <c r="Q129" s="261"/>
      <c r="R129" s="208" t="str">
        <f ca="1">IF(ISERROR($V129),"",OFFSET('Smelter Look-up'!$C$4,$V129-4,0)&amp;"")</f>
        <v/>
      </c>
      <c r="S129" s="215" t="str">
        <f t="shared" ca="1" si="15"/>
        <v/>
      </c>
      <c r="T129" s="215" t="str">
        <f ca="1">IF(B129="","",IF(ISERROR(MATCH($J129,SorP!$B$1:$B$6230,0)),"",INDIRECT("'SorP'!$A$"&amp;MATCH($J129,SorP!$B$1:$B$6230,0))))</f>
        <v/>
      </c>
      <c r="U129" s="231"/>
      <c r="V129" s="262" t="e">
        <f>IF(C129="",NA(),IF(OR(C129="Smelter not listed",C129="Smelter not yet identified"),MATCH($B129&amp;$D129,'Smelter Look-up'!$J:$J,0),MATCH($B129&amp;$C129,'Smelter Look-up'!$J:$J,0)))</f>
        <v>#N/A</v>
      </c>
      <c r="W129" s="263"/>
      <c r="X129" s="263">
        <f t="shared" si="16"/>
        <v>0</v>
      </c>
      <c r="Y129" s="263"/>
      <c r="Z129" s="263"/>
      <c r="AB129" s="265" t="str">
        <f t="shared" si="17"/>
        <v/>
      </c>
    </row>
    <row r="130" spans="1:28" s="264" customFormat="1" ht="20.399999999999999">
      <c r="A130" s="207"/>
      <c r="B130" s="208"/>
      <c r="C130" s="212"/>
      <c r="D130" s="270"/>
      <c r="E130" s="208"/>
      <c r="F130" s="208"/>
      <c r="G130" s="208"/>
      <c r="H130" s="209"/>
      <c r="I130" s="210"/>
      <c r="J130" s="210"/>
      <c r="K130" s="260"/>
      <c r="L130" s="260"/>
      <c r="M130" s="260"/>
      <c r="N130" s="260"/>
      <c r="O130" s="260"/>
      <c r="P130" s="211"/>
      <c r="Q130" s="261"/>
      <c r="R130" s="208" t="str">
        <f ca="1">IF(ISERROR($V130),"",OFFSET('Smelter Look-up'!$C$4,$V130-4,0)&amp;"")</f>
        <v/>
      </c>
      <c r="S130" s="215" t="str">
        <f t="shared" ca="1" si="15"/>
        <v/>
      </c>
      <c r="T130" s="215" t="str">
        <f ca="1">IF(B130="","",IF(ISERROR(MATCH($J130,SorP!$B$1:$B$6230,0)),"",INDIRECT("'SorP'!$A$"&amp;MATCH($J130,SorP!$B$1:$B$6230,0))))</f>
        <v/>
      </c>
      <c r="U130" s="231"/>
      <c r="V130" s="262" t="e">
        <f>IF(C130="",NA(),IF(OR(C130="Smelter not listed",C130="Smelter not yet identified"),MATCH($B130&amp;$D130,'Smelter Look-up'!$J:$J,0),MATCH($B130&amp;$C130,'Smelter Look-up'!$J:$J,0)))</f>
        <v>#N/A</v>
      </c>
      <c r="W130" s="263"/>
      <c r="X130" s="263">
        <f t="shared" si="16"/>
        <v>0</v>
      </c>
      <c r="Y130" s="263"/>
      <c r="Z130" s="263"/>
      <c r="AB130" s="265" t="str">
        <f t="shared" si="17"/>
        <v/>
      </c>
    </row>
    <row r="131" spans="1:28" s="264" customFormat="1" ht="20.399999999999999">
      <c r="A131" s="207"/>
      <c r="B131" s="208"/>
      <c r="C131" s="212"/>
      <c r="D131" s="270"/>
      <c r="E131" s="208"/>
      <c r="F131" s="208"/>
      <c r="G131" s="208"/>
      <c r="H131" s="209"/>
      <c r="I131" s="210"/>
      <c r="J131" s="210"/>
      <c r="K131" s="260"/>
      <c r="L131" s="260"/>
      <c r="M131" s="260"/>
      <c r="N131" s="260"/>
      <c r="O131" s="260"/>
      <c r="P131" s="211"/>
      <c r="Q131" s="261"/>
      <c r="R131" s="208" t="str">
        <f ca="1">IF(ISERROR($V131),"",OFFSET('Smelter Look-up'!$C$4,$V131-4,0)&amp;"")</f>
        <v/>
      </c>
      <c r="S131" s="215" t="str">
        <f t="shared" ca="1" si="15"/>
        <v/>
      </c>
      <c r="T131" s="215" t="str">
        <f ca="1">IF(B131="","",IF(ISERROR(MATCH($J131,SorP!$B$1:$B$6230,0)),"",INDIRECT("'SorP'!$A$"&amp;MATCH($J131,SorP!$B$1:$B$6230,0))))</f>
        <v/>
      </c>
      <c r="U131" s="231"/>
      <c r="V131" s="262" t="e">
        <f>IF(C131="",NA(),IF(OR(C131="Smelter not listed",C131="Smelter not yet identified"),MATCH($B131&amp;$D131,'Smelter Look-up'!$J:$J,0),MATCH($B131&amp;$C131,'Smelter Look-up'!$J:$J,0)))</f>
        <v>#N/A</v>
      </c>
      <c r="W131" s="263"/>
      <c r="X131" s="263">
        <f t="shared" si="16"/>
        <v>0</v>
      </c>
      <c r="Y131" s="263"/>
      <c r="Z131" s="263"/>
      <c r="AB131" s="265" t="str">
        <f t="shared" si="17"/>
        <v/>
      </c>
    </row>
    <row r="132" spans="1:28" s="264" customFormat="1" ht="20.399999999999999">
      <c r="A132" s="207"/>
      <c r="B132" s="208"/>
      <c r="C132" s="212"/>
      <c r="D132" s="270"/>
      <c r="E132" s="208"/>
      <c r="F132" s="208"/>
      <c r="G132" s="208"/>
      <c r="H132" s="209"/>
      <c r="I132" s="210"/>
      <c r="J132" s="210"/>
      <c r="K132" s="260"/>
      <c r="L132" s="260"/>
      <c r="M132" s="260"/>
      <c r="N132" s="260"/>
      <c r="O132" s="260"/>
      <c r="P132" s="211"/>
      <c r="Q132" s="261"/>
      <c r="R132" s="208" t="str">
        <f ca="1">IF(ISERROR($V132),"",OFFSET('Smelter Look-up'!$C$4,$V132-4,0)&amp;"")</f>
        <v/>
      </c>
      <c r="S132" s="215" t="str">
        <f t="shared" ca="1" si="15"/>
        <v/>
      </c>
      <c r="T132" s="215" t="str">
        <f ca="1">IF(B132="","",IF(ISERROR(MATCH($J132,SorP!$B$1:$B$6230,0)),"",INDIRECT("'SorP'!$A$"&amp;MATCH($J132,SorP!$B$1:$B$6230,0))))</f>
        <v/>
      </c>
      <c r="U132" s="231"/>
      <c r="V132" s="262" t="e">
        <f>IF(C132="",NA(),IF(OR(C132="Smelter not listed",C132="Smelter not yet identified"),MATCH($B132&amp;$D132,'Smelter Look-up'!$J:$J,0),MATCH($B132&amp;$C132,'Smelter Look-up'!$J:$J,0)))</f>
        <v>#N/A</v>
      </c>
      <c r="W132" s="263"/>
      <c r="X132" s="263">
        <f t="shared" si="16"/>
        <v>0</v>
      </c>
      <c r="Y132" s="263"/>
      <c r="Z132" s="263"/>
      <c r="AB132" s="265" t="str">
        <f t="shared" si="17"/>
        <v/>
      </c>
    </row>
    <row r="133" spans="1:28" s="264" customFormat="1" ht="20.399999999999999">
      <c r="A133" s="207"/>
      <c r="B133" s="208"/>
      <c r="C133" s="212"/>
      <c r="D133" s="270"/>
      <c r="E133" s="208"/>
      <c r="F133" s="208"/>
      <c r="G133" s="208"/>
      <c r="H133" s="209"/>
      <c r="I133" s="210"/>
      <c r="J133" s="210"/>
      <c r="K133" s="260"/>
      <c r="L133" s="260"/>
      <c r="M133" s="260"/>
      <c r="N133" s="260"/>
      <c r="O133" s="260"/>
      <c r="P133" s="211"/>
      <c r="Q133" s="261"/>
      <c r="R133" s="208" t="str">
        <f ca="1">IF(ISERROR($V133),"",OFFSET('Smelter Look-up'!$C$4,$V133-4,0)&amp;"")</f>
        <v/>
      </c>
      <c r="S133" s="215" t="str">
        <f t="shared" ref="S133" ca="1" si="18">IF(B133="","",IF(ISERROR(MATCH($E133,CL,0)),"Unknown",INDIRECT("'C'!$A$"&amp;MATCH($E133,CL,0)+1)))</f>
        <v/>
      </c>
      <c r="T133" s="215" t="str">
        <f ca="1">IF(B133="","",IF(ISERROR(MATCH($J133,SorP!$B$1:$B$6230,0)),"",INDIRECT("'SorP'!$A$"&amp;MATCH($J133,SorP!$B$1:$B$6230,0))))</f>
        <v/>
      </c>
      <c r="U133" s="231"/>
      <c r="V133" s="262" t="e">
        <f>IF(C133="",NA(),IF(OR(C133="Smelter not listed",C133="Smelter not yet identified"),MATCH($B133&amp;$D133,'Smelter Look-up'!$J:$J,0),MATCH($B133&amp;$C133,'Smelter Look-up'!$J:$J,0)))</f>
        <v>#N/A</v>
      </c>
      <c r="W133" s="263"/>
      <c r="X133" s="263">
        <f t="shared" ref="X133" si="19">IF(AND(C133="Smelter not listed",OR(LEN(D133)=0,LEN(E133)=0)),1,0)</f>
        <v>0</v>
      </c>
      <c r="Y133" s="263"/>
      <c r="Z133" s="263"/>
      <c r="AB133" s="265" t="str">
        <f t="shared" ref="AB133" si="20">B133&amp;C133</f>
        <v/>
      </c>
    </row>
    <row r="134" spans="1:28" s="264" customFormat="1" ht="20.399999999999999">
      <c r="A134" s="207"/>
      <c r="B134" s="208"/>
      <c r="C134" s="212"/>
      <c r="D134" s="270"/>
      <c r="E134" s="208"/>
      <c r="F134" s="208"/>
      <c r="G134" s="208"/>
      <c r="H134" s="209"/>
      <c r="I134" s="210"/>
      <c r="J134" s="210"/>
      <c r="K134" s="260"/>
      <c r="L134" s="260"/>
      <c r="M134" s="260"/>
      <c r="N134" s="260"/>
      <c r="O134" s="260"/>
      <c r="P134" s="211"/>
      <c r="Q134" s="261"/>
      <c r="R134" s="208" t="str">
        <f ca="1">IF(ISERROR($V134),"",OFFSET('Smelter Look-up'!$C$4,$V134-4,0)&amp;"")</f>
        <v/>
      </c>
      <c r="S134" s="215" t="str">
        <f t="shared" ref="S134:S165" ca="1" si="21">IF(B134="","",IF(ISERROR(MATCH($E134,CL,0)),"Unknown",INDIRECT("'C'!$A$"&amp;MATCH($E134,CL,0)+1)))</f>
        <v/>
      </c>
      <c r="T134" s="215" t="str">
        <f ca="1">IF(B134="","",IF(ISERROR(MATCH($J134,SorP!$B$1:$B$6230,0)),"",INDIRECT("'SorP'!$A$"&amp;MATCH($J134,SorP!$B$1:$B$6230,0))))</f>
        <v/>
      </c>
      <c r="U134" s="231"/>
      <c r="V134" s="262" t="e">
        <f>IF(C134="",NA(),IF(OR(C134="Smelter not listed",C134="Smelter not yet identified"),MATCH($B134&amp;$D134,'Smelter Look-up'!$J:$J,0),MATCH($B134&amp;$C134,'Smelter Look-up'!$J:$J,0)))</f>
        <v>#N/A</v>
      </c>
      <c r="W134" s="263"/>
      <c r="X134" s="263">
        <f t="shared" ref="X134:X165" si="22">IF(AND(C134="Smelter not listed",OR(LEN(D134)=0,LEN(E134)=0)),1,0)</f>
        <v>0</v>
      </c>
      <c r="Y134" s="263"/>
      <c r="Z134" s="263"/>
      <c r="AB134" s="265" t="str">
        <f t="shared" ref="AB134:AB165" si="23">B134&amp;C134</f>
        <v/>
      </c>
    </row>
    <row r="135" spans="1:28" s="264" customFormat="1" ht="20.399999999999999">
      <c r="A135" s="207"/>
      <c r="B135" s="208"/>
      <c r="C135" s="212"/>
      <c r="D135" s="270"/>
      <c r="E135" s="208"/>
      <c r="F135" s="208"/>
      <c r="G135" s="208"/>
      <c r="H135" s="209"/>
      <c r="I135" s="210"/>
      <c r="J135" s="210"/>
      <c r="K135" s="260"/>
      <c r="L135" s="260"/>
      <c r="M135" s="260"/>
      <c r="N135" s="260"/>
      <c r="O135" s="260"/>
      <c r="P135" s="211"/>
      <c r="Q135" s="261"/>
      <c r="R135" s="208" t="str">
        <f ca="1">IF(ISERROR($V135),"",OFFSET('Smelter Look-up'!$C$4,$V135-4,0)&amp;"")</f>
        <v/>
      </c>
      <c r="S135" s="215" t="str">
        <f t="shared" ca="1" si="21"/>
        <v/>
      </c>
      <c r="T135" s="215" t="str">
        <f ca="1">IF(B135="","",IF(ISERROR(MATCH($J135,SorP!$B$1:$B$6230,0)),"",INDIRECT("'SorP'!$A$"&amp;MATCH($J135,SorP!$B$1:$B$6230,0))))</f>
        <v/>
      </c>
      <c r="U135" s="231"/>
      <c r="V135" s="262" t="e">
        <f>IF(C135="",NA(),IF(OR(C135="Smelter not listed",C135="Smelter not yet identified"),MATCH($B135&amp;$D135,'Smelter Look-up'!$J:$J,0),MATCH($B135&amp;$C135,'Smelter Look-up'!$J:$J,0)))</f>
        <v>#N/A</v>
      </c>
      <c r="W135" s="263"/>
      <c r="X135" s="263">
        <f t="shared" si="22"/>
        <v>0</v>
      </c>
      <c r="Y135" s="263"/>
      <c r="Z135" s="263"/>
      <c r="AB135" s="265" t="str">
        <f t="shared" si="23"/>
        <v/>
      </c>
    </row>
    <row r="136" spans="1:28" s="264" customFormat="1" ht="20.399999999999999">
      <c r="A136" s="207"/>
      <c r="B136" s="208"/>
      <c r="C136" s="212"/>
      <c r="D136" s="270"/>
      <c r="E136" s="208"/>
      <c r="F136" s="208"/>
      <c r="G136" s="208"/>
      <c r="H136" s="209"/>
      <c r="I136" s="210"/>
      <c r="J136" s="210"/>
      <c r="K136" s="260"/>
      <c r="L136" s="260"/>
      <c r="M136" s="260"/>
      <c r="N136" s="260"/>
      <c r="O136" s="260"/>
      <c r="P136" s="211"/>
      <c r="Q136" s="261"/>
      <c r="R136" s="208" t="str">
        <f ca="1">IF(ISERROR($V136),"",OFFSET('Smelter Look-up'!$C$4,$V136-4,0)&amp;"")</f>
        <v/>
      </c>
      <c r="S136" s="215" t="str">
        <f t="shared" ca="1" si="21"/>
        <v/>
      </c>
      <c r="T136" s="215" t="str">
        <f ca="1">IF(B136="","",IF(ISERROR(MATCH($J136,SorP!$B$1:$B$6230,0)),"",INDIRECT("'SorP'!$A$"&amp;MATCH($J136,SorP!$B$1:$B$6230,0))))</f>
        <v/>
      </c>
      <c r="U136" s="231"/>
      <c r="V136" s="262" t="e">
        <f>IF(C136="",NA(),IF(OR(C136="Smelter not listed",C136="Smelter not yet identified"),MATCH($B136&amp;$D136,'Smelter Look-up'!$J:$J,0),MATCH($B136&amp;$C136,'Smelter Look-up'!$J:$J,0)))</f>
        <v>#N/A</v>
      </c>
      <c r="W136" s="263"/>
      <c r="X136" s="263">
        <f t="shared" si="22"/>
        <v>0</v>
      </c>
      <c r="Y136" s="263"/>
      <c r="Z136" s="263"/>
      <c r="AB136" s="265" t="str">
        <f t="shared" si="23"/>
        <v/>
      </c>
    </row>
    <row r="137" spans="1:28" s="264" customFormat="1" ht="20.399999999999999">
      <c r="A137" s="207"/>
      <c r="B137" s="208"/>
      <c r="C137" s="212"/>
      <c r="D137" s="270"/>
      <c r="E137" s="208"/>
      <c r="F137" s="208"/>
      <c r="G137" s="208"/>
      <c r="H137" s="209"/>
      <c r="I137" s="210"/>
      <c r="J137" s="210"/>
      <c r="K137" s="260"/>
      <c r="L137" s="260"/>
      <c r="M137" s="260"/>
      <c r="N137" s="260"/>
      <c r="O137" s="260"/>
      <c r="P137" s="211"/>
      <c r="Q137" s="261"/>
      <c r="R137" s="208" t="str">
        <f ca="1">IF(ISERROR($V137),"",OFFSET('Smelter Look-up'!$C$4,$V137-4,0)&amp;"")</f>
        <v/>
      </c>
      <c r="S137" s="215" t="str">
        <f t="shared" ca="1" si="21"/>
        <v/>
      </c>
      <c r="T137" s="215" t="str">
        <f ca="1">IF(B137="","",IF(ISERROR(MATCH($J137,SorP!$B$1:$B$6230,0)),"",INDIRECT("'SorP'!$A$"&amp;MATCH($J137,SorP!$B$1:$B$6230,0))))</f>
        <v/>
      </c>
      <c r="U137" s="231"/>
      <c r="V137" s="262" t="e">
        <f>IF(C137="",NA(),IF(OR(C137="Smelter not listed",C137="Smelter not yet identified"),MATCH($B137&amp;$D137,'Smelter Look-up'!$J:$J,0),MATCH($B137&amp;$C137,'Smelter Look-up'!$J:$J,0)))</f>
        <v>#N/A</v>
      </c>
      <c r="W137" s="263"/>
      <c r="X137" s="263">
        <f t="shared" si="22"/>
        <v>0</v>
      </c>
      <c r="Y137" s="263"/>
      <c r="Z137" s="263"/>
      <c r="AB137" s="265" t="str">
        <f t="shared" si="23"/>
        <v/>
      </c>
    </row>
    <row r="138" spans="1:28" s="264" customFormat="1" ht="20.399999999999999">
      <c r="A138" s="207"/>
      <c r="B138" s="208"/>
      <c r="C138" s="212"/>
      <c r="D138" s="270"/>
      <c r="E138" s="208"/>
      <c r="F138" s="208"/>
      <c r="G138" s="208"/>
      <c r="H138" s="209"/>
      <c r="I138" s="210"/>
      <c r="J138" s="210"/>
      <c r="K138" s="260"/>
      <c r="L138" s="260"/>
      <c r="M138" s="260"/>
      <c r="N138" s="260"/>
      <c r="O138" s="260"/>
      <c r="P138" s="211"/>
      <c r="Q138" s="261"/>
      <c r="R138" s="208" t="str">
        <f ca="1">IF(ISERROR($V138),"",OFFSET('Smelter Look-up'!$C$4,$V138-4,0)&amp;"")</f>
        <v/>
      </c>
      <c r="S138" s="215" t="str">
        <f t="shared" ca="1" si="21"/>
        <v/>
      </c>
      <c r="T138" s="215" t="str">
        <f ca="1">IF(B138="","",IF(ISERROR(MATCH($J138,SorP!$B$1:$B$6230,0)),"",INDIRECT("'SorP'!$A$"&amp;MATCH($J138,SorP!$B$1:$B$6230,0))))</f>
        <v/>
      </c>
      <c r="U138" s="231"/>
      <c r="V138" s="262" t="e">
        <f>IF(C138="",NA(),IF(OR(C138="Smelter not listed",C138="Smelter not yet identified"),MATCH($B138&amp;$D138,'Smelter Look-up'!$J:$J,0),MATCH($B138&amp;$C138,'Smelter Look-up'!$J:$J,0)))</f>
        <v>#N/A</v>
      </c>
      <c r="W138" s="263"/>
      <c r="X138" s="263">
        <f t="shared" si="22"/>
        <v>0</v>
      </c>
      <c r="Y138" s="263"/>
      <c r="Z138" s="263"/>
      <c r="AB138" s="265" t="str">
        <f t="shared" si="23"/>
        <v/>
      </c>
    </row>
    <row r="139" spans="1:28" s="264" customFormat="1" ht="20.399999999999999">
      <c r="A139" s="207"/>
      <c r="B139" s="208"/>
      <c r="C139" s="212"/>
      <c r="D139" s="270"/>
      <c r="E139" s="208"/>
      <c r="F139" s="208"/>
      <c r="G139" s="208"/>
      <c r="H139" s="209"/>
      <c r="I139" s="210"/>
      <c r="J139" s="210"/>
      <c r="K139" s="260"/>
      <c r="L139" s="260"/>
      <c r="M139" s="260"/>
      <c r="N139" s="260"/>
      <c r="O139" s="260"/>
      <c r="P139" s="211"/>
      <c r="Q139" s="261"/>
      <c r="R139" s="208" t="str">
        <f ca="1">IF(ISERROR($V139),"",OFFSET('Smelter Look-up'!$C$4,$V139-4,0)&amp;"")</f>
        <v/>
      </c>
      <c r="S139" s="215" t="str">
        <f t="shared" ca="1" si="21"/>
        <v/>
      </c>
      <c r="T139" s="215" t="str">
        <f ca="1">IF(B139="","",IF(ISERROR(MATCH($J139,SorP!$B$1:$B$6230,0)),"",INDIRECT("'SorP'!$A$"&amp;MATCH($J139,SorP!$B$1:$B$6230,0))))</f>
        <v/>
      </c>
      <c r="U139" s="231"/>
      <c r="V139" s="262" t="e">
        <f>IF(C139="",NA(),IF(OR(C139="Smelter not listed",C139="Smelter not yet identified"),MATCH($B139&amp;$D139,'Smelter Look-up'!$J:$J,0),MATCH($B139&amp;$C139,'Smelter Look-up'!$J:$J,0)))</f>
        <v>#N/A</v>
      </c>
      <c r="W139" s="263"/>
      <c r="X139" s="263">
        <f t="shared" si="22"/>
        <v>0</v>
      </c>
      <c r="Y139" s="263"/>
      <c r="Z139" s="263"/>
      <c r="AB139" s="265" t="str">
        <f t="shared" si="23"/>
        <v/>
      </c>
    </row>
    <row r="140" spans="1:28" s="264" customFormat="1" ht="20.399999999999999">
      <c r="A140" s="207"/>
      <c r="B140" s="208"/>
      <c r="C140" s="212"/>
      <c r="D140" s="270"/>
      <c r="E140" s="208"/>
      <c r="F140" s="208"/>
      <c r="G140" s="208"/>
      <c r="H140" s="209"/>
      <c r="I140" s="210"/>
      <c r="J140" s="210"/>
      <c r="K140" s="260"/>
      <c r="L140" s="260"/>
      <c r="M140" s="260"/>
      <c r="N140" s="260"/>
      <c r="O140" s="260"/>
      <c r="P140" s="211"/>
      <c r="Q140" s="261"/>
      <c r="R140" s="208" t="str">
        <f ca="1">IF(ISERROR($V140),"",OFFSET('Smelter Look-up'!$C$4,$V140-4,0)&amp;"")</f>
        <v/>
      </c>
      <c r="S140" s="215" t="str">
        <f t="shared" ca="1" si="21"/>
        <v/>
      </c>
      <c r="T140" s="215" t="str">
        <f ca="1">IF(B140="","",IF(ISERROR(MATCH($J140,SorP!$B$1:$B$6230,0)),"",INDIRECT("'SorP'!$A$"&amp;MATCH($J140,SorP!$B$1:$B$6230,0))))</f>
        <v/>
      </c>
      <c r="U140" s="231"/>
      <c r="V140" s="262" t="e">
        <f>IF(C140="",NA(),IF(OR(C140="Smelter not listed",C140="Smelter not yet identified"),MATCH($B140&amp;$D140,'Smelter Look-up'!$J:$J,0),MATCH($B140&amp;$C140,'Smelter Look-up'!$J:$J,0)))</f>
        <v>#N/A</v>
      </c>
      <c r="W140" s="263"/>
      <c r="X140" s="263">
        <f t="shared" si="22"/>
        <v>0</v>
      </c>
      <c r="Y140" s="263"/>
      <c r="Z140" s="263"/>
      <c r="AB140" s="265" t="str">
        <f t="shared" si="23"/>
        <v/>
      </c>
    </row>
    <row r="141" spans="1:28" s="264" customFormat="1" ht="20.399999999999999">
      <c r="A141" s="207"/>
      <c r="B141" s="208"/>
      <c r="C141" s="212"/>
      <c r="D141" s="270"/>
      <c r="E141" s="208"/>
      <c r="F141" s="208"/>
      <c r="G141" s="208"/>
      <c r="H141" s="209"/>
      <c r="I141" s="210"/>
      <c r="J141" s="210"/>
      <c r="K141" s="260"/>
      <c r="L141" s="260"/>
      <c r="M141" s="260"/>
      <c r="N141" s="260"/>
      <c r="O141" s="260"/>
      <c r="P141" s="211"/>
      <c r="Q141" s="261"/>
      <c r="R141" s="208" t="str">
        <f ca="1">IF(ISERROR($V141),"",OFFSET('Smelter Look-up'!$C$4,$V141-4,0)&amp;"")</f>
        <v/>
      </c>
      <c r="S141" s="215" t="str">
        <f t="shared" ca="1" si="21"/>
        <v/>
      </c>
      <c r="T141" s="215" t="str">
        <f ca="1">IF(B141="","",IF(ISERROR(MATCH($J141,SorP!$B$1:$B$6230,0)),"",INDIRECT("'SorP'!$A$"&amp;MATCH($J141,SorP!$B$1:$B$6230,0))))</f>
        <v/>
      </c>
      <c r="U141" s="231"/>
      <c r="V141" s="262" t="e">
        <f>IF(C141="",NA(),IF(OR(C141="Smelter not listed",C141="Smelter not yet identified"),MATCH($B141&amp;$D141,'Smelter Look-up'!$J:$J,0),MATCH($B141&amp;$C141,'Smelter Look-up'!$J:$J,0)))</f>
        <v>#N/A</v>
      </c>
      <c r="W141" s="263"/>
      <c r="X141" s="263">
        <f t="shared" si="22"/>
        <v>0</v>
      </c>
      <c r="Y141" s="263"/>
      <c r="Z141" s="263"/>
      <c r="AB141" s="265" t="str">
        <f t="shared" si="23"/>
        <v/>
      </c>
    </row>
    <row r="142" spans="1:28" s="264" customFormat="1" ht="20.399999999999999">
      <c r="A142" s="207"/>
      <c r="B142" s="208"/>
      <c r="C142" s="212"/>
      <c r="D142" s="270"/>
      <c r="E142" s="208"/>
      <c r="F142" s="208"/>
      <c r="G142" s="208"/>
      <c r="H142" s="209"/>
      <c r="I142" s="210"/>
      <c r="J142" s="210"/>
      <c r="K142" s="260"/>
      <c r="L142" s="260"/>
      <c r="M142" s="260"/>
      <c r="N142" s="260"/>
      <c r="O142" s="260"/>
      <c r="P142" s="211"/>
      <c r="Q142" s="261"/>
      <c r="R142" s="208" t="str">
        <f ca="1">IF(ISERROR($V142),"",OFFSET('Smelter Look-up'!$C$4,$V142-4,0)&amp;"")</f>
        <v/>
      </c>
      <c r="S142" s="215" t="str">
        <f t="shared" ca="1" si="21"/>
        <v/>
      </c>
      <c r="T142" s="215" t="str">
        <f ca="1">IF(B142="","",IF(ISERROR(MATCH($J142,SorP!$B$1:$B$6230,0)),"",INDIRECT("'SorP'!$A$"&amp;MATCH($J142,SorP!$B$1:$B$6230,0))))</f>
        <v/>
      </c>
      <c r="U142" s="231"/>
      <c r="V142" s="262" t="e">
        <f>IF(C142="",NA(),IF(OR(C142="Smelter not listed",C142="Smelter not yet identified"),MATCH($B142&amp;$D142,'Smelter Look-up'!$J:$J,0),MATCH($B142&amp;$C142,'Smelter Look-up'!$J:$J,0)))</f>
        <v>#N/A</v>
      </c>
      <c r="W142" s="263"/>
      <c r="X142" s="263">
        <f t="shared" si="22"/>
        <v>0</v>
      </c>
      <c r="Y142" s="263"/>
      <c r="Z142" s="263"/>
      <c r="AB142" s="265" t="str">
        <f t="shared" si="23"/>
        <v/>
      </c>
    </row>
    <row r="143" spans="1:28" s="264" customFormat="1" ht="20.399999999999999">
      <c r="A143" s="207"/>
      <c r="B143" s="208"/>
      <c r="C143" s="212"/>
      <c r="D143" s="270"/>
      <c r="E143" s="208"/>
      <c r="F143" s="208"/>
      <c r="G143" s="208"/>
      <c r="H143" s="209"/>
      <c r="I143" s="210"/>
      <c r="J143" s="210"/>
      <c r="K143" s="260"/>
      <c r="L143" s="260"/>
      <c r="M143" s="260"/>
      <c r="N143" s="260"/>
      <c r="O143" s="260"/>
      <c r="P143" s="211"/>
      <c r="Q143" s="261"/>
      <c r="R143" s="208" t="str">
        <f ca="1">IF(ISERROR($V143),"",OFFSET('Smelter Look-up'!$C$4,$V143-4,0)&amp;"")</f>
        <v/>
      </c>
      <c r="S143" s="215" t="str">
        <f t="shared" ca="1" si="21"/>
        <v/>
      </c>
      <c r="T143" s="215" t="str">
        <f ca="1">IF(B143="","",IF(ISERROR(MATCH($J143,SorP!$B$1:$B$6230,0)),"",INDIRECT("'SorP'!$A$"&amp;MATCH($J143,SorP!$B$1:$B$6230,0))))</f>
        <v/>
      </c>
      <c r="U143" s="231"/>
      <c r="V143" s="262" t="e">
        <f>IF(C143="",NA(),IF(OR(C143="Smelter not listed",C143="Smelter not yet identified"),MATCH($B143&amp;$D143,'Smelter Look-up'!$J:$J,0),MATCH($B143&amp;$C143,'Smelter Look-up'!$J:$J,0)))</f>
        <v>#N/A</v>
      </c>
      <c r="W143" s="263"/>
      <c r="X143" s="263">
        <f t="shared" si="22"/>
        <v>0</v>
      </c>
      <c r="Y143" s="263"/>
      <c r="Z143" s="263"/>
      <c r="AB143" s="265" t="str">
        <f t="shared" si="23"/>
        <v/>
      </c>
    </row>
    <row r="144" spans="1:28" s="264" customFormat="1" ht="20.399999999999999">
      <c r="A144" s="207"/>
      <c r="B144" s="208"/>
      <c r="C144" s="212"/>
      <c r="D144" s="270"/>
      <c r="E144" s="208"/>
      <c r="F144" s="208"/>
      <c r="G144" s="208"/>
      <c r="H144" s="209"/>
      <c r="I144" s="210"/>
      <c r="J144" s="210"/>
      <c r="K144" s="260"/>
      <c r="L144" s="260"/>
      <c r="M144" s="260"/>
      <c r="N144" s="260"/>
      <c r="O144" s="260"/>
      <c r="P144" s="211"/>
      <c r="Q144" s="261"/>
      <c r="R144" s="208" t="str">
        <f ca="1">IF(ISERROR($V144),"",OFFSET('Smelter Look-up'!$C$4,$V144-4,0)&amp;"")</f>
        <v/>
      </c>
      <c r="S144" s="215" t="str">
        <f t="shared" ca="1" si="21"/>
        <v/>
      </c>
      <c r="T144" s="215" t="str">
        <f ca="1">IF(B144="","",IF(ISERROR(MATCH($J144,SorP!$B$1:$B$6230,0)),"",INDIRECT("'SorP'!$A$"&amp;MATCH($J144,SorP!$B$1:$B$6230,0))))</f>
        <v/>
      </c>
      <c r="U144" s="231"/>
      <c r="V144" s="262" t="e">
        <f>IF(C144="",NA(),IF(OR(C144="Smelter not listed",C144="Smelter not yet identified"),MATCH($B144&amp;$D144,'Smelter Look-up'!$J:$J,0),MATCH($B144&amp;$C144,'Smelter Look-up'!$J:$J,0)))</f>
        <v>#N/A</v>
      </c>
      <c r="W144" s="263"/>
      <c r="X144" s="263">
        <f t="shared" si="22"/>
        <v>0</v>
      </c>
      <c r="Y144" s="263"/>
      <c r="Z144" s="263"/>
      <c r="AB144" s="265" t="str">
        <f t="shared" si="23"/>
        <v/>
      </c>
    </row>
    <row r="145" spans="1:28" s="264" customFormat="1" ht="20.399999999999999">
      <c r="A145" s="207"/>
      <c r="B145" s="208"/>
      <c r="C145" s="212"/>
      <c r="D145" s="270"/>
      <c r="E145" s="208"/>
      <c r="F145" s="208"/>
      <c r="G145" s="208"/>
      <c r="H145" s="209"/>
      <c r="I145" s="210"/>
      <c r="J145" s="210"/>
      <c r="K145" s="260"/>
      <c r="L145" s="260"/>
      <c r="M145" s="260"/>
      <c r="N145" s="260"/>
      <c r="O145" s="260"/>
      <c r="P145" s="211"/>
      <c r="Q145" s="261"/>
      <c r="R145" s="208" t="str">
        <f ca="1">IF(ISERROR($V145),"",OFFSET('Smelter Look-up'!$C$4,$V145-4,0)&amp;"")</f>
        <v/>
      </c>
      <c r="S145" s="215" t="str">
        <f t="shared" ca="1" si="21"/>
        <v/>
      </c>
      <c r="T145" s="215" t="str">
        <f ca="1">IF(B145="","",IF(ISERROR(MATCH($J145,SorP!$B$1:$B$6230,0)),"",INDIRECT("'SorP'!$A$"&amp;MATCH($J145,SorP!$B$1:$B$6230,0))))</f>
        <v/>
      </c>
      <c r="U145" s="231"/>
      <c r="V145" s="262" t="e">
        <f>IF(C145="",NA(),IF(OR(C145="Smelter not listed",C145="Smelter not yet identified"),MATCH($B145&amp;$D145,'Smelter Look-up'!$J:$J,0),MATCH($B145&amp;$C145,'Smelter Look-up'!$J:$J,0)))</f>
        <v>#N/A</v>
      </c>
      <c r="W145" s="263"/>
      <c r="X145" s="263">
        <f t="shared" si="22"/>
        <v>0</v>
      </c>
      <c r="Y145" s="263"/>
      <c r="Z145" s="263"/>
      <c r="AB145" s="265" t="str">
        <f t="shared" si="23"/>
        <v/>
      </c>
    </row>
    <row r="146" spans="1:28" s="264" customFormat="1" ht="20.399999999999999">
      <c r="A146" s="207"/>
      <c r="B146" s="208"/>
      <c r="C146" s="212"/>
      <c r="D146" s="270"/>
      <c r="E146" s="208"/>
      <c r="F146" s="208"/>
      <c r="G146" s="208"/>
      <c r="H146" s="209"/>
      <c r="I146" s="210"/>
      <c r="J146" s="210"/>
      <c r="K146" s="260"/>
      <c r="L146" s="260"/>
      <c r="M146" s="260"/>
      <c r="N146" s="260"/>
      <c r="O146" s="260"/>
      <c r="P146" s="211"/>
      <c r="Q146" s="261"/>
      <c r="R146" s="208" t="str">
        <f ca="1">IF(ISERROR($V146),"",OFFSET('Smelter Look-up'!$C$4,$V146-4,0)&amp;"")</f>
        <v/>
      </c>
      <c r="S146" s="215" t="str">
        <f t="shared" ca="1" si="21"/>
        <v/>
      </c>
      <c r="T146" s="215" t="str">
        <f ca="1">IF(B146="","",IF(ISERROR(MATCH($J146,SorP!$B$1:$B$6230,0)),"",INDIRECT("'SorP'!$A$"&amp;MATCH($J146,SorP!$B$1:$B$6230,0))))</f>
        <v/>
      </c>
      <c r="U146" s="231"/>
      <c r="V146" s="262" t="e">
        <f>IF(C146="",NA(),IF(OR(C146="Smelter not listed",C146="Smelter not yet identified"),MATCH($B146&amp;$D146,'Smelter Look-up'!$J:$J,0),MATCH($B146&amp;$C146,'Smelter Look-up'!$J:$J,0)))</f>
        <v>#N/A</v>
      </c>
      <c r="W146" s="263"/>
      <c r="X146" s="263">
        <f t="shared" si="22"/>
        <v>0</v>
      </c>
      <c r="Y146" s="263"/>
      <c r="Z146" s="263"/>
      <c r="AB146" s="265" t="str">
        <f t="shared" si="23"/>
        <v/>
      </c>
    </row>
    <row r="147" spans="1:28" s="264" customFormat="1" ht="20.399999999999999">
      <c r="A147" s="207"/>
      <c r="B147" s="208"/>
      <c r="C147" s="212"/>
      <c r="D147" s="270"/>
      <c r="E147" s="208"/>
      <c r="F147" s="208"/>
      <c r="G147" s="208"/>
      <c r="H147" s="209"/>
      <c r="I147" s="210"/>
      <c r="J147" s="210"/>
      <c r="K147" s="260"/>
      <c r="L147" s="260"/>
      <c r="M147" s="260"/>
      <c r="N147" s="260"/>
      <c r="O147" s="260"/>
      <c r="P147" s="211"/>
      <c r="Q147" s="261"/>
      <c r="R147" s="208" t="str">
        <f ca="1">IF(ISERROR($V147),"",OFFSET('Smelter Look-up'!$C$4,$V147-4,0)&amp;"")</f>
        <v/>
      </c>
      <c r="S147" s="215" t="str">
        <f t="shared" ca="1" si="21"/>
        <v/>
      </c>
      <c r="T147" s="215" t="str">
        <f ca="1">IF(B147="","",IF(ISERROR(MATCH($J147,SorP!$B$1:$B$6230,0)),"",INDIRECT("'SorP'!$A$"&amp;MATCH($J147,SorP!$B$1:$B$6230,0))))</f>
        <v/>
      </c>
      <c r="U147" s="231"/>
      <c r="V147" s="262" t="e">
        <f>IF(C147="",NA(),IF(OR(C147="Smelter not listed",C147="Smelter not yet identified"),MATCH($B147&amp;$D147,'Smelter Look-up'!$J:$J,0),MATCH($B147&amp;$C147,'Smelter Look-up'!$J:$J,0)))</f>
        <v>#N/A</v>
      </c>
      <c r="W147" s="263"/>
      <c r="X147" s="263">
        <f t="shared" si="22"/>
        <v>0</v>
      </c>
      <c r="Y147" s="263"/>
      <c r="Z147" s="263"/>
      <c r="AB147" s="265" t="str">
        <f t="shared" si="23"/>
        <v/>
      </c>
    </row>
    <row r="148" spans="1:28" s="264" customFormat="1" ht="20.399999999999999">
      <c r="A148" s="207"/>
      <c r="B148" s="208"/>
      <c r="C148" s="212"/>
      <c r="D148" s="270"/>
      <c r="E148" s="208"/>
      <c r="F148" s="208"/>
      <c r="G148" s="208"/>
      <c r="H148" s="209"/>
      <c r="I148" s="210"/>
      <c r="J148" s="210"/>
      <c r="K148" s="260"/>
      <c r="L148" s="260"/>
      <c r="M148" s="260"/>
      <c r="N148" s="260"/>
      <c r="O148" s="260"/>
      <c r="P148" s="211"/>
      <c r="Q148" s="261"/>
      <c r="R148" s="208" t="str">
        <f ca="1">IF(ISERROR($V148),"",OFFSET('Smelter Look-up'!$C$4,$V148-4,0)&amp;"")</f>
        <v/>
      </c>
      <c r="S148" s="215" t="str">
        <f t="shared" ca="1" si="21"/>
        <v/>
      </c>
      <c r="T148" s="215" t="str">
        <f ca="1">IF(B148="","",IF(ISERROR(MATCH($J148,SorP!$B$1:$B$6230,0)),"",INDIRECT("'SorP'!$A$"&amp;MATCH($J148,SorP!$B$1:$B$6230,0))))</f>
        <v/>
      </c>
      <c r="U148" s="231"/>
      <c r="V148" s="262" t="e">
        <f>IF(C148="",NA(),IF(OR(C148="Smelter not listed",C148="Smelter not yet identified"),MATCH($B148&amp;$D148,'Smelter Look-up'!$J:$J,0),MATCH($B148&amp;$C148,'Smelter Look-up'!$J:$J,0)))</f>
        <v>#N/A</v>
      </c>
      <c r="W148" s="263"/>
      <c r="X148" s="263">
        <f t="shared" si="22"/>
        <v>0</v>
      </c>
      <c r="Y148" s="263"/>
      <c r="Z148" s="263"/>
      <c r="AB148" s="265" t="str">
        <f t="shared" si="23"/>
        <v/>
      </c>
    </row>
    <row r="149" spans="1:28" s="264" customFormat="1" ht="20.399999999999999">
      <c r="A149" s="207"/>
      <c r="B149" s="208"/>
      <c r="C149" s="212"/>
      <c r="D149" s="270"/>
      <c r="E149" s="208"/>
      <c r="F149" s="208"/>
      <c r="G149" s="208"/>
      <c r="H149" s="209"/>
      <c r="I149" s="210"/>
      <c r="J149" s="210"/>
      <c r="K149" s="260"/>
      <c r="L149" s="260"/>
      <c r="M149" s="260"/>
      <c r="N149" s="260"/>
      <c r="O149" s="260"/>
      <c r="P149" s="211"/>
      <c r="Q149" s="261"/>
      <c r="R149" s="208" t="str">
        <f ca="1">IF(ISERROR($V149),"",OFFSET('Smelter Look-up'!$C$4,$V149-4,0)&amp;"")</f>
        <v/>
      </c>
      <c r="S149" s="215" t="str">
        <f t="shared" ca="1" si="21"/>
        <v/>
      </c>
      <c r="T149" s="215" t="str">
        <f ca="1">IF(B149="","",IF(ISERROR(MATCH($J149,SorP!$B$1:$B$6230,0)),"",INDIRECT("'SorP'!$A$"&amp;MATCH($J149,SorP!$B$1:$B$6230,0))))</f>
        <v/>
      </c>
      <c r="U149" s="231"/>
      <c r="V149" s="262" t="e">
        <f>IF(C149="",NA(),IF(OR(C149="Smelter not listed",C149="Smelter not yet identified"),MATCH($B149&amp;$D149,'Smelter Look-up'!$J:$J,0),MATCH($B149&amp;$C149,'Smelter Look-up'!$J:$J,0)))</f>
        <v>#N/A</v>
      </c>
      <c r="W149" s="263"/>
      <c r="X149" s="263">
        <f t="shared" si="22"/>
        <v>0</v>
      </c>
      <c r="Y149" s="263"/>
      <c r="Z149" s="263"/>
      <c r="AB149" s="265" t="str">
        <f t="shared" si="23"/>
        <v/>
      </c>
    </row>
    <row r="150" spans="1:28" s="264" customFormat="1" ht="20.399999999999999">
      <c r="A150" s="207"/>
      <c r="B150" s="208"/>
      <c r="C150" s="212"/>
      <c r="D150" s="270"/>
      <c r="E150" s="208"/>
      <c r="F150" s="208"/>
      <c r="G150" s="208"/>
      <c r="H150" s="209"/>
      <c r="I150" s="210"/>
      <c r="J150" s="210"/>
      <c r="K150" s="260"/>
      <c r="L150" s="260"/>
      <c r="M150" s="260"/>
      <c r="N150" s="260"/>
      <c r="O150" s="260"/>
      <c r="P150" s="211"/>
      <c r="Q150" s="261"/>
      <c r="R150" s="208" t="str">
        <f ca="1">IF(ISERROR($V150),"",OFFSET('Smelter Look-up'!$C$4,$V150-4,0)&amp;"")</f>
        <v/>
      </c>
      <c r="S150" s="215" t="str">
        <f t="shared" ca="1" si="21"/>
        <v/>
      </c>
      <c r="T150" s="215" t="str">
        <f ca="1">IF(B150="","",IF(ISERROR(MATCH($J150,SorP!$B$1:$B$6230,0)),"",INDIRECT("'SorP'!$A$"&amp;MATCH($J150,SorP!$B$1:$B$6230,0))))</f>
        <v/>
      </c>
      <c r="U150" s="231"/>
      <c r="V150" s="262" t="e">
        <f>IF(C150="",NA(),IF(OR(C150="Smelter not listed",C150="Smelter not yet identified"),MATCH($B150&amp;$D150,'Smelter Look-up'!$J:$J,0),MATCH($B150&amp;$C150,'Smelter Look-up'!$J:$J,0)))</f>
        <v>#N/A</v>
      </c>
      <c r="W150" s="263"/>
      <c r="X150" s="263">
        <f t="shared" si="22"/>
        <v>0</v>
      </c>
      <c r="Y150" s="263"/>
      <c r="Z150" s="263"/>
      <c r="AB150" s="265" t="str">
        <f t="shared" si="23"/>
        <v/>
      </c>
    </row>
    <row r="151" spans="1:28" s="264" customFormat="1" ht="20.399999999999999">
      <c r="A151" s="207"/>
      <c r="B151" s="208"/>
      <c r="C151" s="212"/>
      <c r="D151" s="270"/>
      <c r="E151" s="208"/>
      <c r="F151" s="208"/>
      <c r="G151" s="208"/>
      <c r="H151" s="209"/>
      <c r="I151" s="210"/>
      <c r="J151" s="210"/>
      <c r="K151" s="260"/>
      <c r="L151" s="260"/>
      <c r="M151" s="260"/>
      <c r="N151" s="260"/>
      <c r="O151" s="260"/>
      <c r="P151" s="211"/>
      <c r="Q151" s="261"/>
      <c r="R151" s="208" t="str">
        <f ca="1">IF(ISERROR($V151),"",OFFSET('Smelter Look-up'!$C$4,$V151-4,0)&amp;"")</f>
        <v/>
      </c>
      <c r="S151" s="215" t="str">
        <f t="shared" ca="1" si="21"/>
        <v/>
      </c>
      <c r="T151" s="215" t="str">
        <f ca="1">IF(B151="","",IF(ISERROR(MATCH($J151,SorP!$B$1:$B$6230,0)),"",INDIRECT("'SorP'!$A$"&amp;MATCH($J151,SorP!$B$1:$B$6230,0))))</f>
        <v/>
      </c>
      <c r="U151" s="231"/>
      <c r="V151" s="262" t="e">
        <f>IF(C151="",NA(),IF(OR(C151="Smelter not listed",C151="Smelter not yet identified"),MATCH($B151&amp;$D151,'Smelter Look-up'!$J:$J,0),MATCH($B151&amp;$C151,'Smelter Look-up'!$J:$J,0)))</f>
        <v>#N/A</v>
      </c>
      <c r="W151" s="263"/>
      <c r="X151" s="263">
        <f t="shared" si="22"/>
        <v>0</v>
      </c>
      <c r="Y151" s="263"/>
      <c r="Z151" s="263"/>
      <c r="AB151" s="265" t="str">
        <f t="shared" si="23"/>
        <v/>
      </c>
    </row>
    <row r="152" spans="1:28" s="264" customFormat="1" ht="20.399999999999999">
      <c r="A152" s="207"/>
      <c r="B152" s="208"/>
      <c r="C152" s="212"/>
      <c r="D152" s="270"/>
      <c r="E152" s="208"/>
      <c r="F152" s="208"/>
      <c r="G152" s="208"/>
      <c r="H152" s="209"/>
      <c r="I152" s="210"/>
      <c r="J152" s="210"/>
      <c r="K152" s="260"/>
      <c r="L152" s="260"/>
      <c r="M152" s="260"/>
      <c r="N152" s="260"/>
      <c r="O152" s="260"/>
      <c r="P152" s="211"/>
      <c r="Q152" s="261"/>
      <c r="R152" s="208" t="str">
        <f ca="1">IF(ISERROR($V152),"",OFFSET('Smelter Look-up'!$C$4,$V152-4,0)&amp;"")</f>
        <v/>
      </c>
      <c r="S152" s="215" t="str">
        <f t="shared" ca="1" si="21"/>
        <v/>
      </c>
      <c r="T152" s="215" t="str">
        <f ca="1">IF(B152="","",IF(ISERROR(MATCH($J152,SorP!$B$1:$B$6230,0)),"",INDIRECT("'SorP'!$A$"&amp;MATCH($J152,SorP!$B$1:$B$6230,0))))</f>
        <v/>
      </c>
      <c r="U152" s="231"/>
      <c r="V152" s="262" t="e">
        <f>IF(C152="",NA(),IF(OR(C152="Smelter not listed",C152="Smelter not yet identified"),MATCH($B152&amp;$D152,'Smelter Look-up'!$J:$J,0),MATCH($B152&amp;$C152,'Smelter Look-up'!$J:$J,0)))</f>
        <v>#N/A</v>
      </c>
      <c r="W152" s="263"/>
      <c r="X152" s="263">
        <f t="shared" si="22"/>
        <v>0</v>
      </c>
      <c r="Y152" s="263"/>
      <c r="Z152" s="263"/>
      <c r="AB152" s="265" t="str">
        <f t="shared" si="23"/>
        <v/>
      </c>
    </row>
    <row r="153" spans="1:28" s="264" customFormat="1" ht="20.399999999999999">
      <c r="A153" s="207"/>
      <c r="B153" s="208"/>
      <c r="C153" s="212"/>
      <c r="D153" s="270"/>
      <c r="E153" s="208"/>
      <c r="F153" s="208"/>
      <c r="G153" s="208"/>
      <c r="H153" s="209"/>
      <c r="I153" s="210"/>
      <c r="J153" s="210"/>
      <c r="K153" s="260"/>
      <c r="L153" s="260"/>
      <c r="M153" s="260"/>
      <c r="N153" s="260"/>
      <c r="O153" s="260"/>
      <c r="P153" s="211"/>
      <c r="Q153" s="261"/>
      <c r="R153" s="208" t="str">
        <f ca="1">IF(ISERROR($V153),"",OFFSET('Smelter Look-up'!$C$4,$V153-4,0)&amp;"")</f>
        <v/>
      </c>
      <c r="S153" s="215" t="str">
        <f t="shared" ca="1" si="21"/>
        <v/>
      </c>
      <c r="T153" s="215" t="str">
        <f ca="1">IF(B153="","",IF(ISERROR(MATCH($J153,SorP!$B$1:$B$6230,0)),"",INDIRECT("'SorP'!$A$"&amp;MATCH($J153,SorP!$B$1:$B$6230,0))))</f>
        <v/>
      </c>
      <c r="U153" s="231"/>
      <c r="V153" s="262" t="e">
        <f>IF(C153="",NA(),IF(OR(C153="Smelter not listed",C153="Smelter not yet identified"),MATCH($B153&amp;$D153,'Smelter Look-up'!$J:$J,0),MATCH($B153&amp;$C153,'Smelter Look-up'!$J:$J,0)))</f>
        <v>#N/A</v>
      </c>
      <c r="W153" s="263"/>
      <c r="X153" s="263">
        <f t="shared" si="22"/>
        <v>0</v>
      </c>
      <c r="Y153" s="263"/>
      <c r="Z153" s="263"/>
      <c r="AB153" s="265" t="str">
        <f t="shared" si="23"/>
        <v/>
      </c>
    </row>
    <row r="154" spans="1:28" s="264" customFormat="1" ht="20.399999999999999">
      <c r="A154" s="207"/>
      <c r="B154" s="208"/>
      <c r="C154" s="212"/>
      <c r="D154" s="270"/>
      <c r="E154" s="208"/>
      <c r="F154" s="208"/>
      <c r="G154" s="208"/>
      <c r="H154" s="209"/>
      <c r="I154" s="210"/>
      <c r="J154" s="210"/>
      <c r="K154" s="260"/>
      <c r="L154" s="260"/>
      <c r="M154" s="260"/>
      <c r="N154" s="260"/>
      <c r="O154" s="260"/>
      <c r="P154" s="211"/>
      <c r="Q154" s="261"/>
      <c r="R154" s="208" t="str">
        <f ca="1">IF(ISERROR($V154),"",OFFSET('Smelter Look-up'!$C$4,$V154-4,0)&amp;"")</f>
        <v/>
      </c>
      <c r="S154" s="215" t="str">
        <f t="shared" ca="1" si="21"/>
        <v/>
      </c>
      <c r="T154" s="215" t="str">
        <f ca="1">IF(B154="","",IF(ISERROR(MATCH($J154,SorP!$B$1:$B$6230,0)),"",INDIRECT("'SorP'!$A$"&amp;MATCH($J154,SorP!$B$1:$B$6230,0))))</f>
        <v/>
      </c>
      <c r="U154" s="231"/>
      <c r="V154" s="262" t="e">
        <f>IF(C154="",NA(),IF(OR(C154="Smelter not listed",C154="Smelter not yet identified"),MATCH($B154&amp;$D154,'Smelter Look-up'!$J:$J,0),MATCH($B154&amp;$C154,'Smelter Look-up'!$J:$J,0)))</f>
        <v>#N/A</v>
      </c>
      <c r="W154" s="263"/>
      <c r="X154" s="263">
        <f t="shared" si="22"/>
        <v>0</v>
      </c>
      <c r="Y154" s="263"/>
      <c r="Z154" s="263"/>
      <c r="AB154" s="265" t="str">
        <f t="shared" si="23"/>
        <v/>
      </c>
    </row>
    <row r="155" spans="1:28" s="264" customFormat="1" ht="20.399999999999999">
      <c r="A155" s="207"/>
      <c r="B155" s="208"/>
      <c r="C155" s="212"/>
      <c r="D155" s="270"/>
      <c r="E155" s="208"/>
      <c r="F155" s="208"/>
      <c r="G155" s="208"/>
      <c r="H155" s="209"/>
      <c r="I155" s="210"/>
      <c r="J155" s="210"/>
      <c r="K155" s="260"/>
      <c r="L155" s="260"/>
      <c r="M155" s="260"/>
      <c r="N155" s="260"/>
      <c r="O155" s="260"/>
      <c r="P155" s="211"/>
      <c r="Q155" s="261"/>
      <c r="R155" s="208" t="str">
        <f ca="1">IF(ISERROR($V155),"",OFFSET('Smelter Look-up'!$C$4,$V155-4,0)&amp;"")</f>
        <v/>
      </c>
      <c r="S155" s="215" t="str">
        <f t="shared" ca="1" si="21"/>
        <v/>
      </c>
      <c r="T155" s="215" t="str">
        <f ca="1">IF(B155="","",IF(ISERROR(MATCH($J155,SorP!$B$1:$B$6230,0)),"",INDIRECT("'SorP'!$A$"&amp;MATCH($J155,SorP!$B$1:$B$6230,0))))</f>
        <v/>
      </c>
      <c r="U155" s="231"/>
      <c r="V155" s="262" t="e">
        <f>IF(C155="",NA(),IF(OR(C155="Smelter not listed",C155="Smelter not yet identified"),MATCH($B155&amp;$D155,'Smelter Look-up'!$J:$J,0),MATCH($B155&amp;$C155,'Smelter Look-up'!$J:$J,0)))</f>
        <v>#N/A</v>
      </c>
      <c r="W155" s="263"/>
      <c r="X155" s="263">
        <f t="shared" si="22"/>
        <v>0</v>
      </c>
      <c r="Y155" s="263"/>
      <c r="Z155" s="263"/>
      <c r="AB155" s="265" t="str">
        <f t="shared" si="23"/>
        <v/>
      </c>
    </row>
    <row r="156" spans="1:28" s="264" customFormat="1" ht="20.399999999999999">
      <c r="A156" s="207"/>
      <c r="B156" s="208"/>
      <c r="C156" s="212"/>
      <c r="D156" s="270"/>
      <c r="E156" s="208"/>
      <c r="F156" s="208"/>
      <c r="G156" s="208"/>
      <c r="H156" s="209"/>
      <c r="I156" s="210"/>
      <c r="J156" s="210"/>
      <c r="K156" s="260"/>
      <c r="L156" s="260"/>
      <c r="M156" s="260"/>
      <c r="N156" s="260"/>
      <c r="O156" s="260"/>
      <c r="P156" s="211"/>
      <c r="Q156" s="261"/>
      <c r="R156" s="208" t="str">
        <f ca="1">IF(ISERROR($V156),"",OFFSET('Smelter Look-up'!$C$4,$V156-4,0)&amp;"")</f>
        <v/>
      </c>
      <c r="S156" s="215" t="str">
        <f t="shared" ca="1" si="21"/>
        <v/>
      </c>
      <c r="T156" s="215" t="str">
        <f ca="1">IF(B156="","",IF(ISERROR(MATCH($J156,SorP!$B$1:$B$6230,0)),"",INDIRECT("'SorP'!$A$"&amp;MATCH($J156,SorP!$B$1:$B$6230,0))))</f>
        <v/>
      </c>
      <c r="U156" s="231"/>
      <c r="V156" s="262" t="e">
        <f>IF(C156="",NA(),IF(OR(C156="Smelter not listed",C156="Smelter not yet identified"),MATCH($B156&amp;$D156,'Smelter Look-up'!$J:$J,0),MATCH($B156&amp;$C156,'Smelter Look-up'!$J:$J,0)))</f>
        <v>#N/A</v>
      </c>
      <c r="W156" s="263"/>
      <c r="X156" s="263">
        <f t="shared" si="22"/>
        <v>0</v>
      </c>
      <c r="Y156" s="263"/>
      <c r="Z156" s="263"/>
      <c r="AB156" s="265" t="str">
        <f t="shared" si="23"/>
        <v/>
      </c>
    </row>
    <row r="157" spans="1:28" s="264" customFormat="1" ht="20.399999999999999">
      <c r="A157" s="207"/>
      <c r="B157" s="208"/>
      <c r="C157" s="212"/>
      <c r="D157" s="270"/>
      <c r="E157" s="208"/>
      <c r="F157" s="208"/>
      <c r="G157" s="208"/>
      <c r="H157" s="209"/>
      <c r="I157" s="210"/>
      <c r="J157" s="210"/>
      <c r="K157" s="260"/>
      <c r="L157" s="260"/>
      <c r="M157" s="260"/>
      <c r="N157" s="260"/>
      <c r="O157" s="260"/>
      <c r="P157" s="211"/>
      <c r="Q157" s="261"/>
      <c r="R157" s="208" t="str">
        <f ca="1">IF(ISERROR($V157),"",OFFSET('Smelter Look-up'!$C$4,$V157-4,0)&amp;"")</f>
        <v/>
      </c>
      <c r="S157" s="215" t="str">
        <f t="shared" ca="1" si="21"/>
        <v/>
      </c>
      <c r="T157" s="215" t="str">
        <f ca="1">IF(B157="","",IF(ISERROR(MATCH($J157,SorP!$B$1:$B$6230,0)),"",INDIRECT("'SorP'!$A$"&amp;MATCH($J157,SorP!$B$1:$B$6230,0))))</f>
        <v/>
      </c>
      <c r="U157" s="231"/>
      <c r="V157" s="262" t="e">
        <f>IF(C157="",NA(),IF(OR(C157="Smelter not listed",C157="Smelter not yet identified"),MATCH($B157&amp;$D157,'Smelter Look-up'!$J:$J,0),MATCH($B157&amp;$C157,'Smelter Look-up'!$J:$J,0)))</f>
        <v>#N/A</v>
      </c>
      <c r="W157" s="263"/>
      <c r="X157" s="263">
        <f t="shared" si="22"/>
        <v>0</v>
      </c>
      <c r="Y157" s="263"/>
      <c r="Z157" s="263"/>
      <c r="AB157" s="265" t="str">
        <f t="shared" si="23"/>
        <v/>
      </c>
    </row>
    <row r="158" spans="1:28" s="264" customFormat="1" ht="20.399999999999999">
      <c r="A158" s="207"/>
      <c r="B158" s="208"/>
      <c r="C158" s="212"/>
      <c r="D158" s="270"/>
      <c r="E158" s="208"/>
      <c r="F158" s="208"/>
      <c r="G158" s="208"/>
      <c r="H158" s="209"/>
      <c r="I158" s="210"/>
      <c r="J158" s="210"/>
      <c r="K158" s="260"/>
      <c r="L158" s="260"/>
      <c r="M158" s="260"/>
      <c r="N158" s="260"/>
      <c r="O158" s="260"/>
      <c r="P158" s="211"/>
      <c r="Q158" s="261"/>
      <c r="R158" s="208" t="str">
        <f ca="1">IF(ISERROR($V158),"",OFFSET('Smelter Look-up'!$C$4,$V158-4,0)&amp;"")</f>
        <v/>
      </c>
      <c r="S158" s="215" t="str">
        <f t="shared" ca="1" si="21"/>
        <v/>
      </c>
      <c r="T158" s="215" t="str">
        <f ca="1">IF(B158="","",IF(ISERROR(MATCH($J158,SorP!$B$1:$B$6230,0)),"",INDIRECT("'SorP'!$A$"&amp;MATCH($J158,SorP!$B$1:$B$6230,0))))</f>
        <v/>
      </c>
      <c r="U158" s="231"/>
      <c r="V158" s="262" t="e">
        <f>IF(C158="",NA(),IF(OR(C158="Smelter not listed",C158="Smelter not yet identified"),MATCH($B158&amp;$D158,'Smelter Look-up'!$J:$J,0),MATCH($B158&amp;$C158,'Smelter Look-up'!$J:$J,0)))</f>
        <v>#N/A</v>
      </c>
      <c r="W158" s="263"/>
      <c r="X158" s="263">
        <f t="shared" si="22"/>
        <v>0</v>
      </c>
      <c r="Y158" s="263"/>
      <c r="Z158" s="263"/>
      <c r="AB158" s="265" t="str">
        <f t="shared" si="23"/>
        <v/>
      </c>
    </row>
    <row r="159" spans="1:28" s="264" customFormat="1" ht="20.399999999999999">
      <c r="A159" s="207"/>
      <c r="B159" s="208"/>
      <c r="C159" s="212"/>
      <c r="D159" s="270"/>
      <c r="E159" s="208"/>
      <c r="F159" s="208"/>
      <c r="G159" s="208"/>
      <c r="H159" s="209"/>
      <c r="I159" s="210"/>
      <c r="J159" s="210"/>
      <c r="K159" s="260"/>
      <c r="L159" s="260"/>
      <c r="M159" s="260"/>
      <c r="N159" s="260"/>
      <c r="O159" s="260"/>
      <c r="P159" s="211"/>
      <c r="Q159" s="261"/>
      <c r="R159" s="208" t="str">
        <f ca="1">IF(ISERROR($V159),"",OFFSET('Smelter Look-up'!$C$4,$V159-4,0)&amp;"")</f>
        <v/>
      </c>
      <c r="S159" s="215" t="str">
        <f t="shared" ca="1" si="21"/>
        <v/>
      </c>
      <c r="T159" s="215" t="str">
        <f ca="1">IF(B159="","",IF(ISERROR(MATCH($J159,SorP!$B$1:$B$6230,0)),"",INDIRECT("'SorP'!$A$"&amp;MATCH($J159,SorP!$B$1:$B$6230,0))))</f>
        <v/>
      </c>
      <c r="U159" s="231"/>
      <c r="V159" s="262" t="e">
        <f>IF(C159="",NA(),IF(OR(C159="Smelter not listed",C159="Smelter not yet identified"),MATCH($B159&amp;$D159,'Smelter Look-up'!$J:$J,0),MATCH($B159&amp;$C159,'Smelter Look-up'!$J:$J,0)))</f>
        <v>#N/A</v>
      </c>
      <c r="W159" s="263"/>
      <c r="X159" s="263">
        <f t="shared" si="22"/>
        <v>0</v>
      </c>
      <c r="Y159" s="263"/>
      <c r="Z159" s="263"/>
      <c r="AB159" s="265" t="str">
        <f t="shared" si="23"/>
        <v/>
      </c>
    </row>
    <row r="160" spans="1:28" s="264" customFormat="1" ht="20.399999999999999">
      <c r="A160" s="207"/>
      <c r="B160" s="208"/>
      <c r="C160" s="212"/>
      <c r="D160" s="270"/>
      <c r="E160" s="208"/>
      <c r="F160" s="208"/>
      <c r="G160" s="208"/>
      <c r="H160" s="209"/>
      <c r="I160" s="210"/>
      <c r="J160" s="210"/>
      <c r="K160" s="260"/>
      <c r="L160" s="260"/>
      <c r="M160" s="260"/>
      <c r="N160" s="260"/>
      <c r="O160" s="260"/>
      <c r="P160" s="211"/>
      <c r="Q160" s="261"/>
      <c r="R160" s="208" t="str">
        <f ca="1">IF(ISERROR($V160),"",OFFSET('Smelter Look-up'!$C$4,$V160-4,0)&amp;"")</f>
        <v/>
      </c>
      <c r="S160" s="215" t="str">
        <f t="shared" ca="1" si="21"/>
        <v/>
      </c>
      <c r="T160" s="215" t="str">
        <f ca="1">IF(B160="","",IF(ISERROR(MATCH($J160,SorP!$B$1:$B$6230,0)),"",INDIRECT("'SorP'!$A$"&amp;MATCH($J160,SorP!$B$1:$B$6230,0))))</f>
        <v/>
      </c>
      <c r="U160" s="231"/>
      <c r="V160" s="262" t="e">
        <f>IF(C160="",NA(),IF(OR(C160="Smelter not listed",C160="Smelter not yet identified"),MATCH($B160&amp;$D160,'Smelter Look-up'!$J:$J,0),MATCH($B160&amp;$C160,'Smelter Look-up'!$J:$J,0)))</f>
        <v>#N/A</v>
      </c>
      <c r="W160" s="263"/>
      <c r="X160" s="263">
        <f t="shared" si="22"/>
        <v>0</v>
      </c>
      <c r="Y160" s="263"/>
      <c r="Z160" s="263"/>
      <c r="AB160" s="265" t="str">
        <f t="shared" si="23"/>
        <v/>
      </c>
    </row>
    <row r="161" spans="1:28" s="264" customFormat="1" ht="20.399999999999999">
      <c r="A161" s="207"/>
      <c r="B161" s="208"/>
      <c r="C161" s="212"/>
      <c r="D161" s="270"/>
      <c r="E161" s="208"/>
      <c r="F161" s="208"/>
      <c r="G161" s="208"/>
      <c r="H161" s="209"/>
      <c r="I161" s="210"/>
      <c r="J161" s="210"/>
      <c r="K161" s="260"/>
      <c r="L161" s="260"/>
      <c r="M161" s="260"/>
      <c r="N161" s="260"/>
      <c r="O161" s="260"/>
      <c r="P161" s="211"/>
      <c r="Q161" s="261"/>
      <c r="R161" s="208" t="str">
        <f ca="1">IF(ISERROR($V161),"",OFFSET('Smelter Look-up'!$C$4,$V161-4,0)&amp;"")</f>
        <v/>
      </c>
      <c r="S161" s="215" t="str">
        <f t="shared" ca="1" si="21"/>
        <v/>
      </c>
      <c r="T161" s="215" t="str">
        <f ca="1">IF(B161="","",IF(ISERROR(MATCH($J161,SorP!$B$1:$B$6230,0)),"",INDIRECT("'SorP'!$A$"&amp;MATCH($J161,SorP!$B$1:$B$6230,0))))</f>
        <v/>
      </c>
      <c r="U161" s="231"/>
      <c r="V161" s="262" t="e">
        <f>IF(C161="",NA(),IF(OR(C161="Smelter not listed",C161="Smelter not yet identified"),MATCH($B161&amp;$D161,'Smelter Look-up'!$J:$J,0),MATCH($B161&amp;$C161,'Smelter Look-up'!$J:$J,0)))</f>
        <v>#N/A</v>
      </c>
      <c r="W161" s="263"/>
      <c r="X161" s="263">
        <f t="shared" si="22"/>
        <v>0</v>
      </c>
      <c r="Y161" s="263"/>
      <c r="Z161" s="263"/>
      <c r="AB161" s="265" t="str">
        <f t="shared" si="23"/>
        <v/>
      </c>
    </row>
    <row r="162" spans="1:28" s="264" customFormat="1" ht="20.399999999999999">
      <c r="A162" s="207"/>
      <c r="B162" s="208"/>
      <c r="C162" s="212"/>
      <c r="D162" s="270"/>
      <c r="E162" s="208"/>
      <c r="F162" s="208"/>
      <c r="G162" s="208"/>
      <c r="H162" s="209"/>
      <c r="I162" s="210"/>
      <c r="J162" s="210"/>
      <c r="K162" s="260"/>
      <c r="L162" s="260"/>
      <c r="M162" s="260"/>
      <c r="N162" s="260"/>
      <c r="O162" s="260"/>
      <c r="P162" s="211"/>
      <c r="Q162" s="261"/>
      <c r="R162" s="208" t="str">
        <f ca="1">IF(ISERROR($V162),"",OFFSET('Smelter Look-up'!$C$4,$V162-4,0)&amp;"")</f>
        <v/>
      </c>
      <c r="S162" s="215" t="str">
        <f t="shared" ca="1" si="21"/>
        <v/>
      </c>
      <c r="T162" s="215" t="str">
        <f ca="1">IF(B162="","",IF(ISERROR(MATCH($J162,SorP!$B$1:$B$6230,0)),"",INDIRECT("'SorP'!$A$"&amp;MATCH($J162,SorP!$B$1:$B$6230,0))))</f>
        <v/>
      </c>
      <c r="U162" s="231"/>
      <c r="V162" s="262" t="e">
        <f>IF(C162="",NA(),IF(OR(C162="Smelter not listed",C162="Smelter not yet identified"),MATCH($B162&amp;$D162,'Smelter Look-up'!$J:$J,0),MATCH($B162&amp;$C162,'Smelter Look-up'!$J:$J,0)))</f>
        <v>#N/A</v>
      </c>
      <c r="W162" s="263"/>
      <c r="X162" s="263">
        <f t="shared" si="22"/>
        <v>0</v>
      </c>
      <c r="Y162" s="263"/>
      <c r="Z162" s="263"/>
      <c r="AB162" s="265" t="str">
        <f t="shared" si="23"/>
        <v/>
      </c>
    </row>
    <row r="163" spans="1:28" s="264" customFormat="1" ht="20.399999999999999">
      <c r="A163" s="207"/>
      <c r="B163" s="208"/>
      <c r="C163" s="212"/>
      <c r="D163" s="270"/>
      <c r="E163" s="208"/>
      <c r="F163" s="208"/>
      <c r="G163" s="208"/>
      <c r="H163" s="209"/>
      <c r="I163" s="210"/>
      <c r="J163" s="210"/>
      <c r="K163" s="260"/>
      <c r="L163" s="260"/>
      <c r="M163" s="260"/>
      <c r="N163" s="260"/>
      <c r="O163" s="260"/>
      <c r="P163" s="211"/>
      <c r="Q163" s="261"/>
      <c r="R163" s="208" t="str">
        <f ca="1">IF(ISERROR($V163),"",OFFSET('Smelter Look-up'!$C$4,$V163-4,0)&amp;"")</f>
        <v/>
      </c>
      <c r="S163" s="215" t="str">
        <f t="shared" ca="1" si="21"/>
        <v/>
      </c>
      <c r="T163" s="215" t="str">
        <f ca="1">IF(B163="","",IF(ISERROR(MATCH($J163,SorP!$B$1:$B$6230,0)),"",INDIRECT("'SorP'!$A$"&amp;MATCH($J163,SorP!$B$1:$B$6230,0))))</f>
        <v/>
      </c>
      <c r="U163" s="231"/>
      <c r="V163" s="262" t="e">
        <f>IF(C163="",NA(),IF(OR(C163="Smelter not listed",C163="Smelter not yet identified"),MATCH($B163&amp;$D163,'Smelter Look-up'!$J:$J,0),MATCH($B163&amp;$C163,'Smelter Look-up'!$J:$J,0)))</f>
        <v>#N/A</v>
      </c>
      <c r="W163" s="263"/>
      <c r="X163" s="263">
        <f t="shared" si="22"/>
        <v>0</v>
      </c>
      <c r="Y163" s="263"/>
      <c r="Z163" s="263"/>
      <c r="AB163" s="265" t="str">
        <f t="shared" si="23"/>
        <v/>
      </c>
    </row>
    <row r="164" spans="1:28" s="264" customFormat="1" ht="20.399999999999999">
      <c r="A164" s="207"/>
      <c r="B164" s="208"/>
      <c r="C164" s="212"/>
      <c r="D164" s="270"/>
      <c r="E164" s="208"/>
      <c r="F164" s="208"/>
      <c r="G164" s="208"/>
      <c r="H164" s="209"/>
      <c r="I164" s="210"/>
      <c r="J164" s="210"/>
      <c r="K164" s="260"/>
      <c r="L164" s="260"/>
      <c r="M164" s="260"/>
      <c r="N164" s="260"/>
      <c r="O164" s="260"/>
      <c r="P164" s="211"/>
      <c r="Q164" s="261"/>
      <c r="R164" s="208" t="str">
        <f ca="1">IF(ISERROR($V164),"",OFFSET('Smelter Look-up'!$C$4,$V164-4,0)&amp;"")</f>
        <v/>
      </c>
      <c r="S164" s="215" t="str">
        <f t="shared" ca="1" si="21"/>
        <v/>
      </c>
      <c r="T164" s="215" t="str">
        <f ca="1">IF(B164="","",IF(ISERROR(MATCH($J164,SorP!$B$1:$B$6230,0)),"",INDIRECT("'SorP'!$A$"&amp;MATCH($J164,SorP!$B$1:$B$6230,0))))</f>
        <v/>
      </c>
      <c r="U164" s="231"/>
      <c r="V164" s="262" t="e">
        <f>IF(C164="",NA(),IF(OR(C164="Smelter not listed",C164="Smelter not yet identified"),MATCH($B164&amp;$D164,'Smelter Look-up'!$J:$J,0),MATCH($B164&amp;$C164,'Smelter Look-up'!$J:$J,0)))</f>
        <v>#N/A</v>
      </c>
      <c r="W164" s="263"/>
      <c r="X164" s="263">
        <f t="shared" si="22"/>
        <v>0</v>
      </c>
      <c r="Y164" s="263"/>
      <c r="Z164" s="263"/>
      <c r="AB164" s="265" t="str">
        <f t="shared" si="23"/>
        <v/>
      </c>
    </row>
    <row r="165" spans="1:28" s="264" customFormat="1" ht="20.399999999999999">
      <c r="A165" s="207"/>
      <c r="B165" s="208"/>
      <c r="C165" s="212"/>
      <c r="D165" s="270"/>
      <c r="E165" s="208"/>
      <c r="F165" s="208"/>
      <c r="G165" s="208"/>
      <c r="H165" s="209"/>
      <c r="I165" s="210"/>
      <c r="J165" s="210"/>
      <c r="K165" s="260"/>
      <c r="L165" s="260"/>
      <c r="M165" s="260"/>
      <c r="N165" s="260"/>
      <c r="O165" s="260"/>
      <c r="P165" s="211"/>
      <c r="Q165" s="261"/>
      <c r="R165" s="208" t="str">
        <f ca="1">IF(ISERROR($V165),"",OFFSET('Smelter Look-up'!$C$4,$V165-4,0)&amp;"")</f>
        <v/>
      </c>
      <c r="S165" s="215" t="str">
        <f t="shared" ca="1" si="21"/>
        <v/>
      </c>
      <c r="T165" s="215" t="str">
        <f ca="1">IF(B165="","",IF(ISERROR(MATCH($J165,SorP!$B$1:$B$6230,0)),"",INDIRECT("'SorP'!$A$"&amp;MATCH($J165,SorP!$B$1:$B$6230,0))))</f>
        <v/>
      </c>
      <c r="U165" s="231"/>
      <c r="V165" s="262" t="e">
        <f>IF(C165="",NA(),IF(OR(C165="Smelter not listed",C165="Smelter not yet identified"),MATCH($B165&amp;$D165,'Smelter Look-up'!$J:$J,0),MATCH($B165&amp;$C165,'Smelter Look-up'!$J:$J,0)))</f>
        <v>#N/A</v>
      </c>
      <c r="W165" s="263"/>
      <c r="X165" s="263">
        <f t="shared" si="22"/>
        <v>0</v>
      </c>
      <c r="Y165" s="263"/>
      <c r="Z165" s="263"/>
      <c r="AB165" s="265" t="str">
        <f t="shared" si="23"/>
        <v/>
      </c>
    </row>
    <row r="166" spans="1:28" s="264" customFormat="1" ht="20.399999999999999">
      <c r="A166" s="207"/>
      <c r="B166" s="208"/>
      <c r="C166" s="212"/>
      <c r="D166" s="270"/>
      <c r="E166" s="208"/>
      <c r="F166" s="208"/>
      <c r="G166" s="208"/>
      <c r="H166" s="209"/>
      <c r="I166" s="210"/>
      <c r="J166" s="210"/>
      <c r="K166" s="260"/>
      <c r="L166" s="260"/>
      <c r="M166" s="260"/>
      <c r="N166" s="260"/>
      <c r="O166" s="260"/>
      <c r="P166" s="211"/>
      <c r="Q166" s="261"/>
      <c r="R166" s="208" t="str">
        <f ca="1">IF(ISERROR($V166),"",OFFSET('Smelter Look-up'!$C$4,$V166-4,0)&amp;"")</f>
        <v/>
      </c>
      <c r="S166" s="215" t="str">
        <f t="shared" ref="S166:S196" ca="1" si="24">IF(B166="","",IF(ISERROR(MATCH($E166,CL,0)),"Unknown",INDIRECT("'C'!$A$"&amp;MATCH($E166,CL,0)+1)))</f>
        <v/>
      </c>
      <c r="T166" s="215" t="str">
        <f ca="1">IF(B166="","",IF(ISERROR(MATCH($J166,SorP!$B$1:$B$6230,0)),"",INDIRECT("'SorP'!$A$"&amp;MATCH($J166,SorP!$B$1:$B$6230,0))))</f>
        <v/>
      </c>
      <c r="U166" s="231"/>
      <c r="V166" s="262" t="e">
        <f>IF(C166="",NA(),IF(OR(C166="Smelter not listed",C166="Smelter not yet identified"),MATCH($B166&amp;$D166,'Smelter Look-up'!$J:$J,0),MATCH($B166&amp;$C166,'Smelter Look-up'!$J:$J,0)))</f>
        <v>#N/A</v>
      </c>
      <c r="W166" s="263"/>
      <c r="X166" s="263">
        <f t="shared" ref="X166:X196" si="25">IF(AND(C166="Smelter not listed",OR(LEN(D166)=0,LEN(E166)=0)),1,0)</f>
        <v>0</v>
      </c>
      <c r="Y166" s="263"/>
      <c r="Z166" s="263"/>
      <c r="AB166" s="265" t="str">
        <f t="shared" ref="AB166:AB196" si="26">B166&amp;C166</f>
        <v/>
      </c>
    </row>
    <row r="167" spans="1:28" s="264" customFormat="1" ht="20.399999999999999">
      <c r="A167" s="207"/>
      <c r="B167" s="208"/>
      <c r="C167" s="212"/>
      <c r="D167" s="270"/>
      <c r="E167" s="208"/>
      <c r="F167" s="208"/>
      <c r="G167" s="208"/>
      <c r="H167" s="209"/>
      <c r="I167" s="210"/>
      <c r="J167" s="210"/>
      <c r="K167" s="260"/>
      <c r="L167" s="260"/>
      <c r="M167" s="260"/>
      <c r="N167" s="260"/>
      <c r="O167" s="260"/>
      <c r="P167" s="211"/>
      <c r="Q167" s="261"/>
      <c r="R167" s="208" t="str">
        <f ca="1">IF(ISERROR($V167),"",OFFSET('Smelter Look-up'!$C$4,$V167-4,0)&amp;"")</f>
        <v/>
      </c>
      <c r="S167" s="215" t="str">
        <f t="shared" ca="1" si="24"/>
        <v/>
      </c>
      <c r="T167" s="215" t="str">
        <f ca="1">IF(B167="","",IF(ISERROR(MATCH($J167,SorP!$B$1:$B$6230,0)),"",INDIRECT("'SorP'!$A$"&amp;MATCH($J167,SorP!$B$1:$B$6230,0))))</f>
        <v/>
      </c>
      <c r="U167" s="231"/>
      <c r="V167" s="262" t="e">
        <f>IF(C167="",NA(),IF(OR(C167="Smelter not listed",C167="Smelter not yet identified"),MATCH($B167&amp;$D167,'Smelter Look-up'!$J:$J,0),MATCH($B167&amp;$C167,'Smelter Look-up'!$J:$J,0)))</f>
        <v>#N/A</v>
      </c>
      <c r="W167" s="263"/>
      <c r="X167" s="263">
        <f t="shared" si="25"/>
        <v>0</v>
      </c>
      <c r="Y167" s="263"/>
      <c r="Z167" s="263"/>
      <c r="AB167" s="265" t="str">
        <f t="shared" si="26"/>
        <v/>
      </c>
    </row>
    <row r="168" spans="1:28" s="264" customFormat="1" ht="20.399999999999999">
      <c r="A168" s="207"/>
      <c r="B168" s="208"/>
      <c r="C168" s="212"/>
      <c r="D168" s="270"/>
      <c r="E168" s="208"/>
      <c r="F168" s="208"/>
      <c r="G168" s="208"/>
      <c r="H168" s="209"/>
      <c r="I168" s="210"/>
      <c r="J168" s="210"/>
      <c r="K168" s="260"/>
      <c r="L168" s="260"/>
      <c r="M168" s="260"/>
      <c r="N168" s="260"/>
      <c r="O168" s="260"/>
      <c r="P168" s="211"/>
      <c r="Q168" s="261"/>
      <c r="R168" s="208" t="str">
        <f ca="1">IF(ISERROR($V168),"",OFFSET('Smelter Look-up'!$C$4,$V168-4,0)&amp;"")</f>
        <v/>
      </c>
      <c r="S168" s="215" t="str">
        <f t="shared" ca="1" si="24"/>
        <v/>
      </c>
      <c r="T168" s="215" t="str">
        <f ca="1">IF(B168="","",IF(ISERROR(MATCH($J168,SorP!$B$1:$B$6230,0)),"",INDIRECT("'SorP'!$A$"&amp;MATCH($J168,SorP!$B$1:$B$6230,0))))</f>
        <v/>
      </c>
      <c r="U168" s="231"/>
      <c r="V168" s="262" t="e">
        <f>IF(C168="",NA(),IF(OR(C168="Smelter not listed",C168="Smelter not yet identified"),MATCH($B168&amp;$D168,'Smelter Look-up'!$J:$J,0),MATCH($B168&amp;$C168,'Smelter Look-up'!$J:$J,0)))</f>
        <v>#N/A</v>
      </c>
      <c r="W168" s="263"/>
      <c r="X168" s="263">
        <f t="shared" si="25"/>
        <v>0</v>
      </c>
      <c r="Y168" s="263"/>
      <c r="Z168" s="263"/>
      <c r="AB168" s="265" t="str">
        <f t="shared" si="26"/>
        <v/>
      </c>
    </row>
    <row r="169" spans="1:28" s="264" customFormat="1" ht="20.399999999999999">
      <c r="A169" s="207"/>
      <c r="B169" s="208"/>
      <c r="C169" s="212"/>
      <c r="D169" s="270"/>
      <c r="E169" s="208"/>
      <c r="F169" s="208"/>
      <c r="G169" s="208"/>
      <c r="H169" s="209"/>
      <c r="I169" s="210"/>
      <c r="J169" s="210"/>
      <c r="K169" s="260"/>
      <c r="L169" s="260"/>
      <c r="M169" s="260"/>
      <c r="N169" s="260"/>
      <c r="O169" s="260"/>
      <c r="P169" s="211"/>
      <c r="Q169" s="261"/>
      <c r="R169" s="208" t="str">
        <f ca="1">IF(ISERROR($V169),"",OFFSET('Smelter Look-up'!$C$4,$V169-4,0)&amp;"")</f>
        <v/>
      </c>
      <c r="S169" s="215" t="str">
        <f t="shared" ca="1" si="24"/>
        <v/>
      </c>
      <c r="T169" s="215" t="str">
        <f ca="1">IF(B169="","",IF(ISERROR(MATCH($J169,SorP!$B$1:$B$6230,0)),"",INDIRECT("'SorP'!$A$"&amp;MATCH($J169,SorP!$B$1:$B$6230,0))))</f>
        <v/>
      </c>
      <c r="U169" s="231"/>
      <c r="V169" s="262" t="e">
        <f>IF(C169="",NA(),IF(OR(C169="Smelter not listed",C169="Smelter not yet identified"),MATCH($B169&amp;$D169,'Smelter Look-up'!$J:$J,0),MATCH($B169&amp;$C169,'Smelter Look-up'!$J:$J,0)))</f>
        <v>#N/A</v>
      </c>
      <c r="W169" s="263"/>
      <c r="X169" s="263">
        <f t="shared" si="25"/>
        <v>0</v>
      </c>
      <c r="Y169" s="263"/>
      <c r="Z169" s="263"/>
      <c r="AB169" s="265" t="str">
        <f t="shared" si="26"/>
        <v/>
      </c>
    </row>
    <row r="170" spans="1:28" s="264" customFormat="1" ht="20.399999999999999">
      <c r="A170" s="207"/>
      <c r="B170" s="208"/>
      <c r="C170" s="212"/>
      <c r="D170" s="270"/>
      <c r="E170" s="208"/>
      <c r="F170" s="208"/>
      <c r="G170" s="208"/>
      <c r="H170" s="209"/>
      <c r="I170" s="210"/>
      <c r="J170" s="210"/>
      <c r="K170" s="260"/>
      <c r="L170" s="260"/>
      <c r="M170" s="260"/>
      <c r="N170" s="260"/>
      <c r="O170" s="260"/>
      <c r="P170" s="211"/>
      <c r="Q170" s="261"/>
      <c r="R170" s="208" t="str">
        <f ca="1">IF(ISERROR($V170),"",OFFSET('Smelter Look-up'!$C$4,$V170-4,0)&amp;"")</f>
        <v/>
      </c>
      <c r="S170" s="215" t="str">
        <f t="shared" ca="1" si="24"/>
        <v/>
      </c>
      <c r="T170" s="215" t="str">
        <f ca="1">IF(B170="","",IF(ISERROR(MATCH($J170,SorP!$B$1:$B$6230,0)),"",INDIRECT("'SorP'!$A$"&amp;MATCH($J170,SorP!$B$1:$B$6230,0))))</f>
        <v/>
      </c>
      <c r="U170" s="231"/>
      <c r="V170" s="262" t="e">
        <f>IF(C170="",NA(),IF(OR(C170="Smelter not listed",C170="Smelter not yet identified"),MATCH($B170&amp;$D170,'Smelter Look-up'!$J:$J,0),MATCH($B170&amp;$C170,'Smelter Look-up'!$J:$J,0)))</f>
        <v>#N/A</v>
      </c>
      <c r="W170" s="263"/>
      <c r="X170" s="263">
        <f t="shared" si="25"/>
        <v>0</v>
      </c>
      <c r="Y170" s="263"/>
      <c r="Z170" s="263"/>
      <c r="AB170" s="265" t="str">
        <f t="shared" si="26"/>
        <v/>
      </c>
    </row>
    <row r="171" spans="1:28" s="264" customFormat="1" ht="20.399999999999999">
      <c r="A171" s="207"/>
      <c r="B171" s="208"/>
      <c r="C171" s="212"/>
      <c r="D171" s="270"/>
      <c r="E171" s="208"/>
      <c r="F171" s="208"/>
      <c r="G171" s="208"/>
      <c r="H171" s="209"/>
      <c r="I171" s="210"/>
      <c r="J171" s="210"/>
      <c r="K171" s="260"/>
      <c r="L171" s="260"/>
      <c r="M171" s="260"/>
      <c r="N171" s="260"/>
      <c r="O171" s="260"/>
      <c r="P171" s="211"/>
      <c r="Q171" s="261"/>
      <c r="R171" s="208" t="str">
        <f ca="1">IF(ISERROR($V171),"",OFFSET('Smelter Look-up'!$C$4,$V171-4,0)&amp;"")</f>
        <v/>
      </c>
      <c r="S171" s="215" t="str">
        <f t="shared" ca="1" si="24"/>
        <v/>
      </c>
      <c r="T171" s="215" t="str">
        <f ca="1">IF(B171="","",IF(ISERROR(MATCH($J171,SorP!$B$1:$B$6230,0)),"",INDIRECT("'SorP'!$A$"&amp;MATCH($J171,SorP!$B$1:$B$6230,0))))</f>
        <v/>
      </c>
      <c r="U171" s="231"/>
      <c r="V171" s="262" t="e">
        <f>IF(C171="",NA(),IF(OR(C171="Smelter not listed",C171="Smelter not yet identified"),MATCH($B171&amp;$D171,'Smelter Look-up'!$J:$J,0),MATCH($B171&amp;$C171,'Smelter Look-up'!$J:$J,0)))</f>
        <v>#N/A</v>
      </c>
      <c r="W171" s="263"/>
      <c r="X171" s="263">
        <f t="shared" si="25"/>
        <v>0</v>
      </c>
      <c r="Y171" s="263"/>
      <c r="Z171" s="263"/>
      <c r="AB171" s="265" t="str">
        <f t="shared" si="26"/>
        <v/>
      </c>
    </row>
    <row r="172" spans="1:28" s="264" customFormat="1" ht="20.399999999999999">
      <c r="A172" s="207"/>
      <c r="B172" s="208"/>
      <c r="C172" s="212"/>
      <c r="D172" s="270"/>
      <c r="E172" s="208"/>
      <c r="F172" s="208"/>
      <c r="G172" s="208"/>
      <c r="H172" s="209"/>
      <c r="I172" s="210"/>
      <c r="J172" s="210"/>
      <c r="K172" s="260"/>
      <c r="L172" s="260"/>
      <c r="M172" s="260"/>
      <c r="N172" s="260"/>
      <c r="O172" s="260"/>
      <c r="P172" s="211"/>
      <c r="Q172" s="261"/>
      <c r="R172" s="208" t="str">
        <f ca="1">IF(ISERROR($V172),"",OFFSET('Smelter Look-up'!$C$4,$V172-4,0)&amp;"")</f>
        <v/>
      </c>
      <c r="S172" s="215" t="str">
        <f t="shared" ca="1" si="24"/>
        <v/>
      </c>
      <c r="T172" s="215" t="str">
        <f ca="1">IF(B172="","",IF(ISERROR(MATCH($J172,SorP!$B$1:$B$6230,0)),"",INDIRECT("'SorP'!$A$"&amp;MATCH($J172,SorP!$B$1:$B$6230,0))))</f>
        <v/>
      </c>
      <c r="U172" s="231"/>
      <c r="V172" s="262" t="e">
        <f>IF(C172="",NA(),IF(OR(C172="Smelter not listed",C172="Smelter not yet identified"),MATCH($B172&amp;$D172,'Smelter Look-up'!$J:$J,0),MATCH($B172&amp;$C172,'Smelter Look-up'!$J:$J,0)))</f>
        <v>#N/A</v>
      </c>
      <c r="W172" s="263"/>
      <c r="X172" s="263">
        <f t="shared" si="25"/>
        <v>0</v>
      </c>
      <c r="Y172" s="263"/>
      <c r="Z172" s="263"/>
      <c r="AB172" s="265" t="str">
        <f t="shared" si="26"/>
        <v/>
      </c>
    </row>
    <row r="173" spans="1:28" s="264" customFormat="1" ht="20.399999999999999">
      <c r="A173" s="207"/>
      <c r="B173" s="208"/>
      <c r="C173" s="212"/>
      <c r="D173" s="270"/>
      <c r="E173" s="208"/>
      <c r="F173" s="208"/>
      <c r="G173" s="208"/>
      <c r="H173" s="209"/>
      <c r="I173" s="210"/>
      <c r="J173" s="210"/>
      <c r="K173" s="260"/>
      <c r="L173" s="260"/>
      <c r="M173" s="260"/>
      <c r="N173" s="260"/>
      <c r="O173" s="260"/>
      <c r="P173" s="211"/>
      <c r="Q173" s="261"/>
      <c r="R173" s="208" t="str">
        <f ca="1">IF(ISERROR($V173),"",OFFSET('Smelter Look-up'!$C$4,$V173-4,0)&amp;"")</f>
        <v/>
      </c>
      <c r="S173" s="215" t="str">
        <f t="shared" ca="1" si="24"/>
        <v/>
      </c>
      <c r="T173" s="215" t="str">
        <f ca="1">IF(B173="","",IF(ISERROR(MATCH($J173,SorP!$B$1:$B$6230,0)),"",INDIRECT("'SorP'!$A$"&amp;MATCH($J173,SorP!$B$1:$B$6230,0))))</f>
        <v/>
      </c>
      <c r="U173" s="231"/>
      <c r="V173" s="262" t="e">
        <f>IF(C173="",NA(),IF(OR(C173="Smelter not listed",C173="Smelter not yet identified"),MATCH($B173&amp;$D173,'Smelter Look-up'!$J:$J,0),MATCH($B173&amp;$C173,'Smelter Look-up'!$J:$J,0)))</f>
        <v>#N/A</v>
      </c>
      <c r="W173" s="263"/>
      <c r="X173" s="263">
        <f t="shared" si="25"/>
        <v>0</v>
      </c>
      <c r="Y173" s="263"/>
      <c r="Z173" s="263"/>
      <c r="AB173" s="265" t="str">
        <f t="shared" si="26"/>
        <v/>
      </c>
    </row>
    <row r="174" spans="1:28" s="264" customFormat="1" ht="20.399999999999999">
      <c r="A174" s="207"/>
      <c r="B174" s="208"/>
      <c r="C174" s="212"/>
      <c r="D174" s="270"/>
      <c r="E174" s="208"/>
      <c r="F174" s="208"/>
      <c r="G174" s="208"/>
      <c r="H174" s="209"/>
      <c r="I174" s="210"/>
      <c r="J174" s="210"/>
      <c r="K174" s="260"/>
      <c r="L174" s="260"/>
      <c r="M174" s="260"/>
      <c r="N174" s="260"/>
      <c r="O174" s="260"/>
      <c r="P174" s="211"/>
      <c r="Q174" s="261"/>
      <c r="R174" s="208" t="str">
        <f ca="1">IF(ISERROR($V174),"",OFFSET('Smelter Look-up'!$C$4,$V174-4,0)&amp;"")</f>
        <v/>
      </c>
      <c r="S174" s="215" t="str">
        <f t="shared" ca="1" si="24"/>
        <v/>
      </c>
      <c r="T174" s="215" t="str">
        <f ca="1">IF(B174="","",IF(ISERROR(MATCH($J174,SorP!$B$1:$B$6230,0)),"",INDIRECT("'SorP'!$A$"&amp;MATCH($J174,SorP!$B$1:$B$6230,0))))</f>
        <v/>
      </c>
      <c r="U174" s="231"/>
      <c r="V174" s="262" t="e">
        <f>IF(C174="",NA(),IF(OR(C174="Smelter not listed",C174="Smelter not yet identified"),MATCH($B174&amp;$D174,'Smelter Look-up'!$J:$J,0),MATCH($B174&amp;$C174,'Smelter Look-up'!$J:$J,0)))</f>
        <v>#N/A</v>
      </c>
      <c r="W174" s="263"/>
      <c r="X174" s="263">
        <f t="shared" si="25"/>
        <v>0</v>
      </c>
      <c r="Y174" s="263"/>
      <c r="Z174" s="263"/>
      <c r="AB174" s="265" t="str">
        <f t="shared" si="26"/>
        <v/>
      </c>
    </row>
    <row r="175" spans="1:28" s="264" customFormat="1" ht="20.399999999999999">
      <c r="A175" s="207"/>
      <c r="B175" s="208"/>
      <c r="C175" s="212"/>
      <c r="D175" s="270"/>
      <c r="E175" s="208"/>
      <c r="F175" s="208"/>
      <c r="G175" s="208"/>
      <c r="H175" s="209"/>
      <c r="I175" s="210"/>
      <c r="J175" s="210"/>
      <c r="K175" s="260"/>
      <c r="L175" s="260"/>
      <c r="M175" s="260"/>
      <c r="N175" s="260"/>
      <c r="O175" s="260"/>
      <c r="P175" s="211"/>
      <c r="Q175" s="261"/>
      <c r="R175" s="208" t="str">
        <f ca="1">IF(ISERROR($V175),"",OFFSET('Smelter Look-up'!$C$4,$V175-4,0)&amp;"")</f>
        <v/>
      </c>
      <c r="S175" s="215" t="str">
        <f t="shared" ca="1" si="24"/>
        <v/>
      </c>
      <c r="T175" s="215" t="str">
        <f ca="1">IF(B175="","",IF(ISERROR(MATCH($J175,SorP!$B$1:$B$6230,0)),"",INDIRECT("'SorP'!$A$"&amp;MATCH($J175,SorP!$B$1:$B$6230,0))))</f>
        <v/>
      </c>
      <c r="U175" s="231"/>
      <c r="V175" s="262" t="e">
        <f>IF(C175="",NA(),IF(OR(C175="Smelter not listed",C175="Smelter not yet identified"),MATCH($B175&amp;$D175,'Smelter Look-up'!$J:$J,0),MATCH($B175&amp;$C175,'Smelter Look-up'!$J:$J,0)))</f>
        <v>#N/A</v>
      </c>
      <c r="W175" s="263"/>
      <c r="X175" s="263">
        <f t="shared" si="25"/>
        <v>0</v>
      </c>
      <c r="Y175" s="263"/>
      <c r="Z175" s="263"/>
      <c r="AB175" s="265" t="str">
        <f t="shared" si="26"/>
        <v/>
      </c>
    </row>
    <row r="176" spans="1:28" s="264" customFormat="1" ht="20.399999999999999">
      <c r="A176" s="207"/>
      <c r="B176" s="208"/>
      <c r="C176" s="212"/>
      <c r="D176" s="270"/>
      <c r="E176" s="208"/>
      <c r="F176" s="208"/>
      <c r="G176" s="208"/>
      <c r="H176" s="209"/>
      <c r="I176" s="210"/>
      <c r="J176" s="210"/>
      <c r="K176" s="260"/>
      <c r="L176" s="260"/>
      <c r="M176" s="260"/>
      <c r="N176" s="260"/>
      <c r="O176" s="260"/>
      <c r="P176" s="211"/>
      <c r="Q176" s="261"/>
      <c r="R176" s="208" t="str">
        <f ca="1">IF(ISERROR($V176),"",OFFSET('Smelter Look-up'!$C$4,$V176-4,0)&amp;"")</f>
        <v/>
      </c>
      <c r="S176" s="215" t="str">
        <f t="shared" ca="1" si="24"/>
        <v/>
      </c>
      <c r="T176" s="215" t="str">
        <f ca="1">IF(B176="","",IF(ISERROR(MATCH($J176,SorP!$B$1:$B$6230,0)),"",INDIRECT("'SorP'!$A$"&amp;MATCH($J176,SorP!$B$1:$B$6230,0))))</f>
        <v/>
      </c>
      <c r="U176" s="231"/>
      <c r="V176" s="262" t="e">
        <f>IF(C176="",NA(),IF(OR(C176="Smelter not listed",C176="Smelter not yet identified"),MATCH($B176&amp;$D176,'Smelter Look-up'!$J:$J,0),MATCH($B176&amp;$C176,'Smelter Look-up'!$J:$J,0)))</f>
        <v>#N/A</v>
      </c>
      <c r="W176" s="263"/>
      <c r="X176" s="263">
        <f t="shared" si="25"/>
        <v>0</v>
      </c>
      <c r="Y176" s="263"/>
      <c r="Z176" s="263"/>
      <c r="AB176" s="265" t="str">
        <f t="shared" si="26"/>
        <v/>
      </c>
    </row>
    <row r="177" spans="1:28" s="264" customFormat="1" ht="20.399999999999999">
      <c r="A177" s="207"/>
      <c r="B177" s="208"/>
      <c r="C177" s="212"/>
      <c r="D177" s="270"/>
      <c r="E177" s="208"/>
      <c r="F177" s="208"/>
      <c r="G177" s="208"/>
      <c r="H177" s="209"/>
      <c r="I177" s="210"/>
      <c r="J177" s="210"/>
      <c r="K177" s="260"/>
      <c r="L177" s="260"/>
      <c r="M177" s="260"/>
      <c r="N177" s="260"/>
      <c r="O177" s="260"/>
      <c r="P177" s="211"/>
      <c r="Q177" s="261"/>
      <c r="R177" s="208" t="str">
        <f ca="1">IF(ISERROR($V177),"",OFFSET('Smelter Look-up'!$C$4,$V177-4,0)&amp;"")</f>
        <v/>
      </c>
      <c r="S177" s="215" t="str">
        <f t="shared" ca="1" si="24"/>
        <v/>
      </c>
      <c r="T177" s="215" t="str">
        <f ca="1">IF(B177="","",IF(ISERROR(MATCH($J177,SorP!$B$1:$B$6230,0)),"",INDIRECT("'SorP'!$A$"&amp;MATCH($J177,SorP!$B$1:$B$6230,0))))</f>
        <v/>
      </c>
      <c r="U177" s="231"/>
      <c r="V177" s="262" t="e">
        <f>IF(C177="",NA(),IF(OR(C177="Smelter not listed",C177="Smelter not yet identified"),MATCH($B177&amp;$D177,'Smelter Look-up'!$J:$J,0),MATCH($B177&amp;$C177,'Smelter Look-up'!$J:$J,0)))</f>
        <v>#N/A</v>
      </c>
      <c r="W177" s="263"/>
      <c r="X177" s="263">
        <f t="shared" si="25"/>
        <v>0</v>
      </c>
      <c r="Y177" s="263"/>
      <c r="Z177" s="263"/>
      <c r="AB177" s="265" t="str">
        <f t="shared" si="26"/>
        <v/>
      </c>
    </row>
    <row r="178" spans="1:28" s="264" customFormat="1" ht="20.399999999999999">
      <c r="A178" s="207"/>
      <c r="B178" s="208"/>
      <c r="C178" s="212"/>
      <c r="D178" s="270"/>
      <c r="E178" s="208"/>
      <c r="F178" s="208"/>
      <c r="G178" s="208"/>
      <c r="H178" s="209"/>
      <c r="I178" s="210"/>
      <c r="J178" s="210"/>
      <c r="K178" s="260"/>
      <c r="L178" s="260"/>
      <c r="M178" s="260"/>
      <c r="N178" s="260"/>
      <c r="O178" s="260"/>
      <c r="P178" s="211"/>
      <c r="Q178" s="261"/>
      <c r="R178" s="208" t="str">
        <f ca="1">IF(ISERROR($V178),"",OFFSET('Smelter Look-up'!$C$4,$V178-4,0)&amp;"")</f>
        <v/>
      </c>
      <c r="S178" s="215" t="str">
        <f t="shared" ca="1" si="24"/>
        <v/>
      </c>
      <c r="T178" s="215" t="str">
        <f ca="1">IF(B178="","",IF(ISERROR(MATCH($J178,SorP!$B$1:$B$6230,0)),"",INDIRECT("'SorP'!$A$"&amp;MATCH($J178,SorP!$B$1:$B$6230,0))))</f>
        <v/>
      </c>
      <c r="U178" s="231"/>
      <c r="V178" s="262" t="e">
        <f>IF(C178="",NA(),IF(OR(C178="Smelter not listed",C178="Smelter not yet identified"),MATCH($B178&amp;$D178,'Smelter Look-up'!$J:$J,0),MATCH($B178&amp;$C178,'Smelter Look-up'!$J:$J,0)))</f>
        <v>#N/A</v>
      </c>
      <c r="W178" s="263"/>
      <c r="X178" s="263">
        <f t="shared" si="25"/>
        <v>0</v>
      </c>
      <c r="Y178" s="263"/>
      <c r="Z178" s="263"/>
      <c r="AB178" s="265" t="str">
        <f t="shared" si="26"/>
        <v/>
      </c>
    </row>
    <row r="179" spans="1:28" s="264" customFormat="1" ht="20.399999999999999">
      <c r="A179" s="207"/>
      <c r="B179" s="208"/>
      <c r="C179" s="212"/>
      <c r="D179" s="270"/>
      <c r="E179" s="208"/>
      <c r="F179" s="208"/>
      <c r="G179" s="208"/>
      <c r="H179" s="209"/>
      <c r="I179" s="210"/>
      <c r="J179" s="210"/>
      <c r="K179" s="260"/>
      <c r="L179" s="260"/>
      <c r="M179" s="260"/>
      <c r="N179" s="260"/>
      <c r="O179" s="260"/>
      <c r="P179" s="211"/>
      <c r="Q179" s="261"/>
      <c r="R179" s="208" t="str">
        <f ca="1">IF(ISERROR($V179),"",OFFSET('Smelter Look-up'!$C$4,$V179-4,0)&amp;"")</f>
        <v/>
      </c>
      <c r="S179" s="215" t="str">
        <f t="shared" ca="1" si="24"/>
        <v/>
      </c>
      <c r="T179" s="215" t="str">
        <f ca="1">IF(B179="","",IF(ISERROR(MATCH($J179,SorP!$B$1:$B$6230,0)),"",INDIRECT("'SorP'!$A$"&amp;MATCH($J179,SorP!$B$1:$B$6230,0))))</f>
        <v/>
      </c>
      <c r="U179" s="231"/>
      <c r="V179" s="262" t="e">
        <f>IF(C179="",NA(),IF(OR(C179="Smelter not listed",C179="Smelter not yet identified"),MATCH($B179&amp;$D179,'Smelter Look-up'!$J:$J,0),MATCH($B179&amp;$C179,'Smelter Look-up'!$J:$J,0)))</f>
        <v>#N/A</v>
      </c>
      <c r="W179" s="263"/>
      <c r="X179" s="263">
        <f t="shared" si="25"/>
        <v>0</v>
      </c>
      <c r="Y179" s="263"/>
      <c r="Z179" s="263"/>
      <c r="AB179" s="265" t="str">
        <f t="shared" si="26"/>
        <v/>
      </c>
    </row>
    <row r="180" spans="1:28" s="264" customFormat="1" ht="20.399999999999999">
      <c r="A180" s="207"/>
      <c r="B180" s="208"/>
      <c r="C180" s="212"/>
      <c r="D180" s="270"/>
      <c r="E180" s="208"/>
      <c r="F180" s="208"/>
      <c r="G180" s="208"/>
      <c r="H180" s="209"/>
      <c r="I180" s="210"/>
      <c r="J180" s="210"/>
      <c r="K180" s="260"/>
      <c r="L180" s="260"/>
      <c r="M180" s="260"/>
      <c r="N180" s="260"/>
      <c r="O180" s="260"/>
      <c r="P180" s="211"/>
      <c r="Q180" s="261"/>
      <c r="R180" s="208" t="str">
        <f ca="1">IF(ISERROR($V180),"",OFFSET('Smelter Look-up'!$C$4,$V180-4,0)&amp;"")</f>
        <v/>
      </c>
      <c r="S180" s="215" t="str">
        <f t="shared" ca="1" si="24"/>
        <v/>
      </c>
      <c r="T180" s="215" t="str">
        <f ca="1">IF(B180="","",IF(ISERROR(MATCH($J180,SorP!$B$1:$B$6230,0)),"",INDIRECT("'SorP'!$A$"&amp;MATCH($J180,SorP!$B$1:$B$6230,0))))</f>
        <v/>
      </c>
      <c r="U180" s="231"/>
      <c r="V180" s="262" t="e">
        <f>IF(C180="",NA(),IF(OR(C180="Smelter not listed",C180="Smelter not yet identified"),MATCH($B180&amp;$D180,'Smelter Look-up'!$J:$J,0),MATCH($B180&amp;$C180,'Smelter Look-up'!$J:$J,0)))</f>
        <v>#N/A</v>
      </c>
      <c r="W180" s="263"/>
      <c r="X180" s="263">
        <f t="shared" si="25"/>
        <v>0</v>
      </c>
      <c r="Y180" s="263"/>
      <c r="Z180" s="263"/>
      <c r="AB180" s="265" t="str">
        <f t="shared" si="26"/>
        <v/>
      </c>
    </row>
    <row r="181" spans="1:28" s="264" customFormat="1" ht="20.399999999999999">
      <c r="A181" s="207"/>
      <c r="B181" s="208"/>
      <c r="C181" s="212"/>
      <c r="D181" s="270"/>
      <c r="E181" s="208"/>
      <c r="F181" s="208"/>
      <c r="G181" s="208"/>
      <c r="H181" s="209"/>
      <c r="I181" s="210"/>
      <c r="J181" s="210"/>
      <c r="K181" s="260"/>
      <c r="L181" s="260"/>
      <c r="M181" s="260"/>
      <c r="N181" s="260"/>
      <c r="O181" s="260"/>
      <c r="P181" s="211"/>
      <c r="Q181" s="261"/>
      <c r="R181" s="208" t="str">
        <f ca="1">IF(ISERROR($V181),"",OFFSET('Smelter Look-up'!$C$4,$V181-4,0)&amp;"")</f>
        <v/>
      </c>
      <c r="S181" s="215" t="str">
        <f t="shared" ca="1" si="24"/>
        <v/>
      </c>
      <c r="T181" s="215" t="str">
        <f ca="1">IF(B181="","",IF(ISERROR(MATCH($J181,SorP!$B$1:$B$6230,0)),"",INDIRECT("'SorP'!$A$"&amp;MATCH($J181,SorP!$B$1:$B$6230,0))))</f>
        <v/>
      </c>
      <c r="U181" s="231"/>
      <c r="V181" s="262" t="e">
        <f>IF(C181="",NA(),IF(OR(C181="Smelter not listed",C181="Smelter not yet identified"),MATCH($B181&amp;$D181,'Smelter Look-up'!$J:$J,0),MATCH($B181&amp;$C181,'Smelter Look-up'!$J:$J,0)))</f>
        <v>#N/A</v>
      </c>
      <c r="W181" s="263"/>
      <c r="X181" s="263">
        <f t="shared" si="25"/>
        <v>0</v>
      </c>
      <c r="Y181" s="263"/>
      <c r="Z181" s="263"/>
      <c r="AB181" s="265" t="str">
        <f t="shared" si="26"/>
        <v/>
      </c>
    </row>
    <row r="182" spans="1:28" s="264" customFormat="1" ht="20.399999999999999">
      <c r="A182" s="207"/>
      <c r="B182" s="208"/>
      <c r="C182" s="212"/>
      <c r="D182" s="270"/>
      <c r="E182" s="208"/>
      <c r="F182" s="208"/>
      <c r="G182" s="208"/>
      <c r="H182" s="209"/>
      <c r="I182" s="210"/>
      <c r="J182" s="210"/>
      <c r="K182" s="260"/>
      <c r="L182" s="260"/>
      <c r="M182" s="260"/>
      <c r="N182" s="260"/>
      <c r="O182" s="260"/>
      <c r="P182" s="211"/>
      <c r="Q182" s="261"/>
      <c r="R182" s="208" t="str">
        <f ca="1">IF(ISERROR($V182),"",OFFSET('Smelter Look-up'!$C$4,$V182-4,0)&amp;"")</f>
        <v/>
      </c>
      <c r="S182" s="215" t="str">
        <f t="shared" ca="1" si="24"/>
        <v/>
      </c>
      <c r="T182" s="215" t="str">
        <f ca="1">IF(B182="","",IF(ISERROR(MATCH($J182,SorP!$B$1:$B$6230,0)),"",INDIRECT("'SorP'!$A$"&amp;MATCH($J182,SorP!$B$1:$B$6230,0))))</f>
        <v/>
      </c>
      <c r="U182" s="231"/>
      <c r="V182" s="262" t="e">
        <f>IF(C182="",NA(),IF(OR(C182="Smelter not listed",C182="Smelter not yet identified"),MATCH($B182&amp;$D182,'Smelter Look-up'!$J:$J,0),MATCH($B182&amp;$C182,'Smelter Look-up'!$J:$J,0)))</f>
        <v>#N/A</v>
      </c>
      <c r="W182" s="263"/>
      <c r="X182" s="263">
        <f t="shared" si="25"/>
        <v>0</v>
      </c>
      <c r="Y182" s="263"/>
      <c r="Z182" s="263"/>
      <c r="AB182" s="265" t="str">
        <f t="shared" si="26"/>
        <v/>
      </c>
    </row>
    <row r="183" spans="1:28" s="264" customFormat="1" ht="20.399999999999999">
      <c r="A183" s="207"/>
      <c r="B183" s="208"/>
      <c r="C183" s="212"/>
      <c r="D183" s="270"/>
      <c r="E183" s="208"/>
      <c r="F183" s="208"/>
      <c r="G183" s="208"/>
      <c r="H183" s="209"/>
      <c r="I183" s="210"/>
      <c r="J183" s="210"/>
      <c r="K183" s="260"/>
      <c r="L183" s="260"/>
      <c r="M183" s="260"/>
      <c r="N183" s="260"/>
      <c r="O183" s="260"/>
      <c r="P183" s="211"/>
      <c r="Q183" s="261"/>
      <c r="R183" s="208" t="str">
        <f ca="1">IF(ISERROR($V183),"",OFFSET('Smelter Look-up'!$C$4,$V183-4,0)&amp;"")</f>
        <v/>
      </c>
      <c r="S183" s="215" t="str">
        <f t="shared" ca="1" si="24"/>
        <v/>
      </c>
      <c r="T183" s="215" t="str">
        <f ca="1">IF(B183="","",IF(ISERROR(MATCH($J183,SorP!$B$1:$B$6230,0)),"",INDIRECT("'SorP'!$A$"&amp;MATCH($J183,SorP!$B$1:$B$6230,0))))</f>
        <v/>
      </c>
      <c r="U183" s="231"/>
      <c r="V183" s="262" t="e">
        <f>IF(C183="",NA(),IF(OR(C183="Smelter not listed",C183="Smelter not yet identified"),MATCH($B183&amp;$D183,'Smelter Look-up'!$J:$J,0),MATCH($B183&amp;$C183,'Smelter Look-up'!$J:$J,0)))</f>
        <v>#N/A</v>
      </c>
      <c r="W183" s="263"/>
      <c r="X183" s="263">
        <f t="shared" si="25"/>
        <v>0</v>
      </c>
      <c r="Y183" s="263"/>
      <c r="Z183" s="263"/>
      <c r="AB183" s="265" t="str">
        <f t="shared" si="26"/>
        <v/>
      </c>
    </row>
    <row r="184" spans="1:28" s="264" customFormat="1" ht="20.399999999999999">
      <c r="A184" s="207"/>
      <c r="B184" s="208"/>
      <c r="C184" s="212"/>
      <c r="D184" s="270"/>
      <c r="E184" s="208"/>
      <c r="F184" s="208"/>
      <c r="G184" s="208"/>
      <c r="H184" s="209"/>
      <c r="I184" s="210"/>
      <c r="J184" s="210"/>
      <c r="K184" s="260"/>
      <c r="L184" s="260"/>
      <c r="M184" s="260"/>
      <c r="N184" s="260"/>
      <c r="O184" s="260"/>
      <c r="P184" s="211"/>
      <c r="Q184" s="261"/>
      <c r="R184" s="208" t="str">
        <f ca="1">IF(ISERROR($V184),"",OFFSET('Smelter Look-up'!$C$4,$V184-4,0)&amp;"")</f>
        <v/>
      </c>
      <c r="S184" s="215" t="str">
        <f t="shared" ca="1" si="24"/>
        <v/>
      </c>
      <c r="T184" s="215" t="str">
        <f ca="1">IF(B184="","",IF(ISERROR(MATCH($J184,SorP!$B$1:$B$6230,0)),"",INDIRECT("'SorP'!$A$"&amp;MATCH($J184,SorP!$B$1:$B$6230,0))))</f>
        <v/>
      </c>
      <c r="U184" s="231"/>
      <c r="V184" s="262" t="e">
        <f>IF(C184="",NA(),IF(OR(C184="Smelter not listed",C184="Smelter not yet identified"),MATCH($B184&amp;$D184,'Smelter Look-up'!$J:$J,0),MATCH($B184&amp;$C184,'Smelter Look-up'!$J:$J,0)))</f>
        <v>#N/A</v>
      </c>
      <c r="W184" s="263"/>
      <c r="X184" s="263">
        <f t="shared" si="25"/>
        <v>0</v>
      </c>
      <c r="Y184" s="263"/>
      <c r="Z184" s="263"/>
      <c r="AB184" s="265" t="str">
        <f t="shared" si="26"/>
        <v/>
      </c>
    </row>
    <row r="185" spans="1:28" s="264" customFormat="1" ht="20.399999999999999">
      <c r="A185" s="207"/>
      <c r="B185" s="208"/>
      <c r="C185" s="212"/>
      <c r="D185" s="270"/>
      <c r="E185" s="208"/>
      <c r="F185" s="208"/>
      <c r="G185" s="208"/>
      <c r="H185" s="209"/>
      <c r="I185" s="210"/>
      <c r="J185" s="210"/>
      <c r="K185" s="260"/>
      <c r="L185" s="260"/>
      <c r="M185" s="260"/>
      <c r="N185" s="260"/>
      <c r="O185" s="260"/>
      <c r="P185" s="211"/>
      <c r="Q185" s="261"/>
      <c r="R185" s="208" t="str">
        <f ca="1">IF(ISERROR($V185),"",OFFSET('Smelter Look-up'!$C$4,$V185-4,0)&amp;"")</f>
        <v/>
      </c>
      <c r="S185" s="215" t="str">
        <f t="shared" ca="1" si="24"/>
        <v/>
      </c>
      <c r="T185" s="215" t="str">
        <f ca="1">IF(B185="","",IF(ISERROR(MATCH($J185,SorP!$B$1:$B$6230,0)),"",INDIRECT("'SorP'!$A$"&amp;MATCH($J185,SorP!$B$1:$B$6230,0))))</f>
        <v/>
      </c>
      <c r="U185" s="231"/>
      <c r="V185" s="262" t="e">
        <f>IF(C185="",NA(),IF(OR(C185="Smelter not listed",C185="Smelter not yet identified"),MATCH($B185&amp;$D185,'Smelter Look-up'!$J:$J,0),MATCH($B185&amp;$C185,'Smelter Look-up'!$J:$J,0)))</f>
        <v>#N/A</v>
      </c>
      <c r="W185" s="263"/>
      <c r="X185" s="263">
        <f t="shared" si="25"/>
        <v>0</v>
      </c>
      <c r="Y185" s="263"/>
      <c r="Z185" s="263"/>
      <c r="AB185" s="265" t="str">
        <f t="shared" si="26"/>
        <v/>
      </c>
    </row>
    <row r="186" spans="1:28" s="264" customFormat="1" ht="20.399999999999999">
      <c r="A186" s="207"/>
      <c r="B186" s="208"/>
      <c r="C186" s="212"/>
      <c r="D186" s="270"/>
      <c r="E186" s="208"/>
      <c r="F186" s="208"/>
      <c r="G186" s="208"/>
      <c r="H186" s="209"/>
      <c r="I186" s="210"/>
      <c r="J186" s="210"/>
      <c r="K186" s="260"/>
      <c r="L186" s="260"/>
      <c r="M186" s="260"/>
      <c r="N186" s="260"/>
      <c r="O186" s="260"/>
      <c r="P186" s="211"/>
      <c r="Q186" s="261"/>
      <c r="R186" s="208" t="str">
        <f ca="1">IF(ISERROR($V186),"",OFFSET('Smelter Look-up'!$C$4,$V186-4,0)&amp;"")</f>
        <v/>
      </c>
      <c r="S186" s="215" t="str">
        <f t="shared" ca="1" si="24"/>
        <v/>
      </c>
      <c r="T186" s="215" t="str">
        <f ca="1">IF(B186="","",IF(ISERROR(MATCH($J186,SorP!$B$1:$B$6230,0)),"",INDIRECT("'SorP'!$A$"&amp;MATCH($J186,SorP!$B$1:$B$6230,0))))</f>
        <v/>
      </c>
      <c r="U186" s="231"/>
      <c r="V186" s="262" t="e">
        <f>IF(C186="",NA(),IF(OR(C186="Smelter not listed",C186="Smelter not yet identified"),MATCH($B186&amp;$D186,'Smelter Look-up'!$J:$J,0),MATCH($B186&amp;$C186,'Smelter Look-up'!$J:$J,0)))</f>
        <v>#N/A</v>
      </c>
      <c r="W186" s="263"/>
      <c r="X186" s="263">
        <f t="shared" si="25"/>
        <v>0</v>
      </c>
      <c r="Y186" s="263"/>
      <c r="Z186" s="263"/>
      <c r="AB186" s="265" t="str">
        <f t="shared" si="26"/>
        <v/>
      </c>
    </row>
    <row r="187" spans="1:28" s="264" customFormat="1" ht="20.399999999999999">
      <c r="A187" s="207"/>
      <c r="B187" s="208"/>
      <c r="C187" s="212"/>
      <c r="D187" s="270"/>
      <c r="E187" s="208"/>
      <c r="F187" s="208"/>
      <c r="G187" s="208"/>
      <c r="H187" s="209"/>
      <c r="I187" s="210"/>
      <c r="J187" s="210"/>
      <c r="K187" s="260"/>
      <c r="L187" s="260"/>
      <c r="M187" s="260"/>
      <c r="N187" s="260"/>
      <c r="O187" s="260"/>
      <c r="P187" s="211"/>
      <c r="Q187" s="261"/>
      <c r="R187" s="208" t="str">
        <f ca="1">IF(ISERROR($V187),"",OFFSET('Smelter Look-up'!$C$4,$V187-4,0)&amp;"")</f>
        <v/>
      </c>
      <c r="S187" s="215" t="str">
        <f t="shared" ca="1" si="24"/>
        <v/>
      </c>
      <c r="T187" s="215" t="str">
        <f ca="1">IF(B187="","",IF(ISERROR(MATCH($J187,SorP!$B$1:$B$6230,0)),"",INDIRECT("'SorP'!$A$"&amp;MATCH($J187,SorP!$B$1:$B$6230,0))))</f>
        <v/>
      </c>
      <c r="U187" s="231"/>
      <c r="V187" s="262" t="e">
        <f>IF(C187="",NA(),IF(OR(C187="Smelter not listed",C187="Smelter not yet identified"),MATCH($B187&amp;$D187,'Smelter Look-up'!$J:$J,0),MATCH($B187&amp;$C187,'Smelter Look-up'!$J:$J,0)))</f>
        <v>#N/A</v>
      </c>
      <c r="W187" s="263"/>
      <c r="X187" s="263">
        <f t="shared" si="25"/>
        <v>0</v>
      </c>
      <c r="Y187" s="263"/>
      <c r="Z187" s="263"/>
      <c r="AB187" s="265" t="str">
        <f t="shared" si="26"/>
        <v/>
      </c>
    </row>
    <row r="188" spans="1:28" s="264" customFormat="1" ht="20.399999999999999">
      <c r="A188" s="207"/>
      <c r="B188" s="208"/>
      <c r="C188" s="212"/>
      <c r="D188" s="270"/>
      <c r="E188" s="208"/>
      <c r="F188" s="208"/>
      <c r="G188" s="208"/>
      <c r="H188" s="209"/>
      <c r="I188" s="210"/>
      <c r="J188" s="210"/>
      <c r="K188" s="260"/>
      <c r="L188" s="260"/>
      <c r="M188" s="260"/>
      <c r="N188" s="260"/>
      <c r="O188" s="260"/>
      <c r="P188" s="211"/>
      <c r="Q188" s="261"/>
      <c r="R188" s="208" t="str">
        <f ca="1">IF(ISERROR($V188),"",OFFSET('Smelter Look-up'!$C$4,$V188-4,0)&amp;"")</f>
        <v/>
      </c>
      <c r="S188" s="215" t="str">
        <f t="shared" ca="1" si="24"/>
        <v/>
      </c>
      <c r="T188" s="215" t="str">
        <f ca="1">IF(B188="","",IF(ISERROR(MATCH($J188,SorP!$B$1:$B$6230,0)),"",INDIRECT("'SorP'!$A$"&amp;MATCH($J188,SorP!$B$1:$B$6230,0))))</f>
        <v/>
      </c>
      <c r="U188" s="231"/>
      <c r="V188" s="262" t="e">
        <f>IF(C188="",NA(),IF(OR(C188="Smelter not listed",C188="Smelter not yet identified"),MATCH($B188&amp;$D188,'Smelter Look-up'!$J:$J,0),MATCH($B188&amp;$C188,'Smelter Look-up'!$J:$J,0)))</f>
        <v>#N/A</v>
      </c>
      <c r="W188" s="263"/>
      <c r="X188" s="263">
        <f t="shared" si="25"/>
        <v>0</v>
      </c>
      <c r="Y188" s="263"/>
      <c r="Z188" s="263"/>
      <c r="AB188" s="265" t="str">
        <f t="shared" si="26"/>
        <v/>
      </c>
    </row>
    <row r="189" spans="1:28" s="264" customFormat="1" ht="20.399999999999999">
      <c r="A189" s="207"/>
      <c r="B189" s="208"/>
      <c r="C189" s="212"/>
      <c r="D189" s="270"/>
      <c r="E189" s="208"/>
      <c r="F189" s="208"/>
      <c r="G189" s="208"/>
      <c r="H189" s="209"/>
      <c r="I189" s="210"/>
      <c r="J189" s="210"/>
      <c r="K189" s="260"/>
      <c r="L189" s="260"/>
      <c r="M189" s="260"/>
      <c r="N189" s="260"/>
      <c r="O189" s="260"/>
      <c r="P189" s="211"/>
      <c r="Q189" s="261"/>
      <c r="R189" s="208" t="str">
        <f ca="1">IF(ISERROR($V189),"",OFFSET('Smelter Look-up'!$C$4,$V189-4,0)&amp;"")</f>
        <v/>
      </c>
      <c r="S189" s="215" t="str">
        <f t="shared" ca="1" si="24"/>
        <v/>
      </c>
      <c r="T189" s="215" t="str">
        <f ca="1">IF(B189="","",IF(ISERROR(MATCH($J189,SorP!$B$1:$B$6230,0)),"",INDIRECT("'SorP'!$A$"&amp;MATCH($J189,SorP!$B$1:$B$6230,0))))</f>
        <v/>
      </c>
      <c r="U189" s="231"/>
      <c r="V189" s="262" t="e">
        <f>IF(C189="",NA(),IF(OR(C189="Smelter not listed",C189="Smelter not yet identified"),MATCH($B189&amp;$D189,'Smelter Look-up'!$J:$J,0),MATCH($B189&amp;$C189,'Smelter Look-up'!$J:$J,0)))</f>
        <v>#N/A</v>
      </c>
      <c r="W189" s="263"/>
      <c r="X189" s="263">
        <f t="shared" si="25"/>
        <v>0</v>
      </c>
      <c r="Y189" s="263"/>
      <c r="Z189" s="263"/>
      <c r="AB189" s="265" t="str">
        <f t="shared" si="26"/>
        <v/>
      </c>
    </row>
    <row r="190" spans="1:28" s="264" customFormat="1" ht="20.399999999999999">
      <c r="A190" s="207"/>
      <c r="B190" s="208"/>
      <c r="C190" s="212"/>
      <c r="D190" s="270"/>
      <c r="E190" s="208"/>
      <c r="F190" s="208"/>
      <c r="G190" s="208"/>
      <c r="H190" s="209"/>
      <c r="I190" s="210"/>
      <c r="J190" s="210"/>
      <c r="K190" s="260"/>
      <c r="L190" s="260"/>
      <c r="M190" s="260"/>
      <c r="N190" s="260"/>
      <c r="O190" s="260"/>
      <c r="P190" s="211"/>
      <c r="Q190" s="261"/>
      <c r="R190" s="208" t="str">
        <f ca="1">IF(ISERROR($V190),"",OFFSET('Smelter Look-up'!$C$4,$V190-4,0)&amp;"")</f>
        <v/>
      </c>
      <c r="S190" s="215" t="str">
        <f t="shared" ca="1" si="24"/>
        <v/>
      </c>
      <c r="T190" s="215" t="str">
        <f ca="1">IF(B190="","",IF(ISERROR(MATCH($J190,SorP!$B$1:$B$6230,0)),"",INDIRECT("'SorP'!$A$"&amp;MATCH($J190,SorP!$B$1:$B$6230,0))))</f>
        <v/>
      </c>
      <c r="U190" s="231"/>
      <c r="V190" s="262" t="e">
        <f>IF(C190="",NA(),IF(OR(C190="Smelter not listed",C190="Smelter not yet identified"),MATCH($B190&amp;$D190,'Smelter Look-up'!$J:$J,0),MATCH($B190&amp;$C190,'Smelter Look-up'!$J:$J,0)))</f>
        <v>#N/A</v>
      </c>
      <c r="W190" s="263"/>
      <c r="X190" s="263">
        <f t="shared" si="25"/>
        <v>0</v>
      </c>
      <c r="Y190" s="263"/>
      <c r="Z190" s="263"/>
      <c r="AB190" s="265" t="str">
        <f t="shared" si="26"/>
        <v/>
      </c>
    </row>
    <row r="191" spans="1:28" s="264" customFormat="1" ht="20.399999999999999">
      <c r="A191" s="207"/>
      <c r="B191" s="208"/>
      <c r="C191" s="212"/>
      <c r="D191" s="270"/>
      <c r="E191" s="208"/>
      <c r="F191" s="208"/>
      <c r="G191" s="208"/>
      <c r="H191" s="209"/>
      <c r="I191" s="210"/>
      <c r="J191" s="210"/>
      <c r="K191" s="260"/>
      <c r="L191" s="260"/>
      <c r="M191" s="260"/>
      <c r="N191" s="260"/>
      <c r="O191" s="260"/>
      <c r="P191" s="211"/>
      <c r="Q191" s="261"/>
      <c r="R191" s="208" t="str">
        <f ca="1">IF(ISERROR($V191),"",OFFSET('Smelter Look-up'!$C$4,$V191-4,0)&amp;"")</f>
        <v/>
      </c>
      <c r="S191" s="215" t="str">
        <f t="shared" ca="1" si="24"/>
        <v/>
      </c>
      <c r="T191" s="215" t="str">
        <f ca="1">IF(B191="","",IF(ISERROR(MATCH($J191,SorP!$B$1:$B$6230,0)),"",INDIRECT("'SorP'!$A$"&amp;MATCH($J191,SorP!$B$1:$B$6230,0))))</f>
        <v/>
      </c>
      <c r="U191" s="231"/>
      <c r="V191" s="262" t="e">
        <f>IF(C191="",NA(),IF(OR(C191="Smelter not listed",C191="Smelter not yet identified"),MATCH($B191&amp;$D191,'Smelter Look-up'!$J:$J,0),MATCH($B191&amp;$C191,'Smelter Look-up'!$J:$J,0)))</f>
        <v>#N/A</v>
      </c>
      <c r="W191" s="263"/>
      <c r="X191" s="263">
        <f t="shared" si="25"/>
        <v>0</v>
      </c>
      <c r="Y191" s="263"/>
      <c r="Z191" s="263"/>
      <c r="AB191" s="265" t="str">
        <f t="shared" si="26"/>
        <v/>
      </c>
    </row>
    <row r="192" spans="1:28" s="264" customFormat="1" ht="20.399999999999999">
      <c r="A192" s="207"/>
      <c r="B192" s="208"/>
      <c r="C192" s="212"/>
      <c r="D192" s="270"/>
      <c r="E192" s="208"/>
      <c r="F192" s="208"/>
      <c r="G192" s="208"/>
      <c r="H192" s="209"/>
      <c r="I192" s="210"/>
      <c r="J192" s="210"/>
      <c r="K192" s="260"/>
      <c r="L192" s="260"/>
      <c r="M192" s="260"/>
      <c r="N192" s="260"/>
      <c r="O192" s="260"/>
      <c r="P192" s="211"/>
      <c r="Q192" s="261"/>
      <c r="R192" s="208" t="str">
        <f ca="1">IF(ISERROR($V192),"",OFFSET('Smelter Look-up'!$C$4,$V192-4,0)&amp;"")</f>
        <v/>
      </c>
      <c r="S192" s="215" t="str">
        <f t="shared" ca="1" si="24"/>
        <v/>
      </c>
      <c r="T192" s="215" t="str">
        <f ca="1">IF(B192="","",IF(ISERROR(MATCH($J192,SorP!$B$1:$B$6230,0)),"",INDIRECT("'SorP'!$A$"&amp;MATCH($J192,SorP!$B$1:$B$6230,0))))</f>
        <v/>
      </c>
      <c r="U192" s="231"/>
      <c r="V192" s="262" t="e">
        <f>IF(C192="",NA(),IF(OR(C192="Smelter not listed",C192="Smelter not yet identified"),MATCH($B192&amp;$D192,'Smelter Look-up'!$J:$J,0),MATCH($B192&amp;$C192,'Smelter Look-up'!$J:$J,0)))</f>
        <v>#N/A</v>
      </c>
      <c r="W192" s="263"/>
      <c r="X192" s="263">
        <f t="shared" si="25"/>
        <v>0</v>
      </c>
      <c r="Y192" s="263"/>
      <c r="Z192" s="263"/>
      <c r="AB192" s="265" t="str">
        <f t="shared" si="26"/>
        <v/>
      </c>
    </row>
    <row r="193" spans="1:28" s="264" customFormat="1" ht="20.399999999999999">
      <c r="A193" s="207"/>
      <c r="B193" s="208"/>
      <c r="C193" s="212"/>
      <c r="D193" s="270"/>
      <c r="E193" s="208"/>
      <c r="F193" s="208"/>
      <c r="G193" s="208"/>
      <c r="H193" s="209"/>
      <c r="I193" s="210"/>
      <c r="J193" s="210"/>
      <c r="K193" s="260"/>
      <c r="L193" s="260"/>
      <c r="M193" s="260"/>
      <c r="N193" s="260"/>
      <c r="O193" s="260"/>
      <c r="P193" s="211"/>
      <c r="Q193" s="261"/>
      <c r="R193" s="208" t="str">
        <f ca="1">IF(ISERROR($V193),"",OFFSET('Smelter Look-up'!$C$4,$V193-4,0)&amp;"")</f>
        <v/>
      </c>
      <c r="S193" s="215" t="str">
        <f t="shared" ca="1" si="24"/>
        <v/>
      </c>
      <c r="T193" s="215" t="str">
        <f ca="1">IF(B193="","",IF(ISERROR(MATCH($J193,SorP!$B$1:$B$6230,0)),"",INDIRECT("'SorP'!$A$"&amp;MATCH($J193,SorP!$B$1:$B$6230,0))))</f>
        <v/>
      </c>
      <c r="U193" s="231"/>
      <c r="V193" s="262" t="e">
        <f>IF(C193="",NA(),IF(OR(C193="Smelter not listed",C193="Smelter not yet identified"),MATCH($B193&amp;$D193,'Smelter Look-up'!$J:$J,0),MATCH($B193&amp;$C193,'Smelter Look-up'!$J:$J,0)))</f>
        <v>#N/A</v>
      </c>
      <c r="W193" s="263"/>
      <c r="X193" s="263">
        <f t="shared" si="25"/>
        <v>0</v>
      </c>
      <c r="Y193" s="263"/>
      <c r="Z193" s="263"/>
      <c r="AB193" s="265" t="str">
        <f t="shared" si="26"/>
        <v/>
      </c>
    </row>
    <row r="194" spans="1:28" s="264" customFormat="1" ht="20.399999999999999">
      <c r="A194" s="207"/>
      <c r="B194" s="208"/>
      <c r="C194" s="212"/>
      <c r="D194" s="270"/>
      <c r="E194" s="208"/>
      <c r="F194" s="208"/>
      <c r="G194" s="208"/>
      <c r="H194" s="209"/>
      <c r="I194" s="210"/>
      <c r="J194" s="210"/>
      <c r="K194" s="260"/>
      <c r="L194" s="260"/>
      <c r="M194" s="260"/>
      <c r="N194" s="260"/>
      <c r="O194" s="260"/>
      <c r="P194" s="211"/>
      <c r="Q194" s="261"/>
      <c r="R194" s="208" t="str">
        <f ca="1">IF(ISERROR($V194),"",OFFSET('Smelter Look-up'!$C$4,$V194-4,0)&amp;"")</f>
        <v/>
      </c>
      <c r="S194" s="215" t="str">
        <f t="shared" ca="1" si="24"/>
        <v/>
      </c>
      <c r="T194" s="215" t="str">
        <f ca="1">IF(B194="","",IF(ISERROR(MATCH($J194,SorP!$B$1:$B$6230,0)),"",INDIRECT("'SorP'!$A$"&amp;MATCH($J194,SorP!$B$1:$B$6230,0))))</f>
        <v/>
      </c>
      <c r="U194" s="231"/>
      <c r="V194" s="262" t="e">
        <f>IF(C194="",NA(),IF(OR(C194="Smelter not listed",C194="Smelter not yet identified"),MATCH($B194&amp;$D194,'Smelter Look-up'!$J:$J,0),MATCH($B194&amp;$C194,'Smelter Look-up'!$J:$J,0)))</f>
        <v>#N/A</v>
      </c>
      <c r="W194" s="263"/>
      <c r="X194" s="263">
        <f t="shared" si="25"/>
        <v>0</v>
      </c>
      <c r="Y194" s="263"/>
      <c r="Z194" s="263"/>
      <c r="AB194" s="265" t="str">
        <f t="shared" si="26"/>
        <v/>
      </c>
    </row>
    <row r="195" spans="1:28" s="264" customFormat="1" ht="20.399999999999999">
      <c r="A195" s="207"/>
      <c r="B195" s="208"/>
      <c r="C195" s="212"/>
      <c r="D195" s="270"/>
      <c r="E195" s="208"/>
      <c r="F195" s="208"/>
      <c r="G195" s="208"/>
      <c r="H195" s="209"/>
      <c r="I195" s="210"/>
      <c r="J195" s="210"/>
      <c r="K195" s="260"/>
      <c r="L195" s="260"/>
      <c r="M195" s="260"/>
      <c r="N195" s="260"/>
      <c r="O195" s="260"/>
      <c r="P195" s="211"/>
      <c r="Q195" s="261"/>
      <c r="R195" s="208" t="str">
        <f ca="1">IF(ISERROR($V195),"",OFFSET('Smelter Look-up'!$C$4,$V195-4,0)&amp;"")</f>
        <v/>
      </c>
      <c r="S195" s="215" t="str">
        <f t="shared" ca="1" si="24"/>
        <v/>
      </c>
      <c r="T195" s="215" t="str">
        <f ca="1">IF(B195="","",IF(ISERROR(MATCH($J195,SorP!$B$1:$B$6230,0)),"",INDIRECT("'SorP'!$A$"&amp;MATCH($J195,SorP!$B$1:$B$6230,0))))</f>
        <v/>
      </c>
      <c r="U195" s="231"/>
      <c r="V195" s="262" t="e">
        <f>IF(C195="",NA(),IF(OR(C195="Smelter not listed",C195="Smelter not yet identified"),MATCH($B195&amp;$D195,'Smelter Look-up'!$J:$J,0),MATCH($B195&amp;$C195,'Smelter Look-up'!$J:$J,0)))</f>
        <v>#N/A</v>
      </c>
      <c r="W195" s="263"/>
      <c r="X195" s="263">
        <f t="shared" si="25"/>
        <v>0</v>
      </c>
      <c r="Y195" s="263"/>
      <c r="Z195" s="263"/>
      <c r="AB195" s="265" t="str">
        <f t="shared" si="26"/>
        <v/>
      </c>
    </row>
    <row r="196" spans="1:28" s="264" customFormat="1" ht="20.399999999999999">
      <c r="A196" s="207"/>
      <c r="B196" s="208"/>
      <c r="C196" s="212"/>
      <c r="D196" s="270"/>
      <c r="E196" s="208"/>
      <c r="F196" s="208"/>
      <c r="G196" s="208"/>
      <c r="H196" s="209"/>
      <c r="I196" s="210"/>
      <c r="J196" s="210"/>
      <c r="K196" s="260"/>
      <c r="L196" s="260"/>
      <c r="M196" s="260"/>
      <c r="N196" s="260"/>
      <c r="O196" s="260"/>
      <c r="P196" s="211"/>
      <c r="Q196" s="261"/>
      <c r="R196" s="208" t="str">
        <f ca="1">IF(ISERROR($V196),"",OFFSET('Smelter Look-up'!$C$4,$V196-4,0)&amp;"")</f>
        <v/>
      </c>
      <c r="S196" s="215" t="str">
        <f t="shared" ca="1" si="24"/>
        <v/>
      </c>
      <c r="T196" s="215" t="str">
        <f ca="1">IF(B196="","",IF(ISERROR(MATCH($J196,SorP!$B$1:$B$6230,0)),"",INDIRECT("'SorP'!$A$"&amp;MATCH($J196,SorP!$B$1:$B$6230,0))))</f>
        <v/>
      </c>
      <c r="U196" s="231"/>
      <c r="V196" s="262" t="e">
        <f>IF(C196="",NA(),IF(OR(C196="Smelter not listed",C196="Smelter not yet identified"),MATCH($B196&amp;$D196,'Smelter Look-up'!$J:$J,0),MATCH($B196&amp;$C196,'Smelter Look-up'!$J:$J,0)))</f>
        <v>#N/A</v>
      </c>
      <c r="W196" s="263"/>
      <c r="X196" s="263">
        <f t="shared" si="25"/>
        <v>0</v>
      </c>
      <c r="Y196" s="263"/>
      <c r="Z196" s="263"/>
      <c r="AB196" s="265" t="str">
        <f t="shared" si="26"/>
        <v/>
      </c>
    </row>
    <row r="197" spans="1:28" s="264" customFormat="1" ht="20.399999999999999">
      <c r="A197" s="207"/>
      <c r="B197" s="208"/>
      <c r="C197" s="212"/>
      <c r="D197" s="270"/>
      <c r="E197" s="208"/>
      <c r="F197" s="208"/>
      <c r="G197" s="208"/>
      <c r="H197" s="209"/>
      <c r="I197" s="210"/>
      <c r="J197" s="210"/>
      <c r="K197" s="260"/>
      <c r="L197" s="260"/>
      <c r="M197" s="260"/>
      <c r="N197" s="260"/>
      <c r="O197" s="260"/>
      <c r="P197" s="211"/>
      <c r="Q197" s="261"/>
      <c r="R197" s="208" t="str">
        <f ca="1">IF(ISERROR($V197),"",OFFSET('Smelter Look-up'!$C$4,$V197-4,0)&amp;"")</f>
        <v/>
      </c>
      <c r="S197" s="215" t="str">
        <f t="shared" ref="S197" ca="1" si="27">IF(B197="","",IF(ISERROR(MATCH($E197,CL,0)),"Unknown",INDIRECT("'C'!$A$"&amp;MATCH($E197,CL,0)+1)))</f>
        <v/>
      </c>
      <c r="T197" s="215" t="str">
        <f ca="1">IF(B197="","",IF(ISERROR(MATCH($J197,SorP!$B$1:$B$6230,0)),"",INDIRECT("'SorP'!$A$"&amp;MATCH($J197,SorP!$B$1:$B$6230,0))))</f>
        <v/>
      </c>
      <c r="U197" s="231"/>
      <c r="V197" s="262" t="e">
        <f>IF(C197="",NA(),IF(OR(C197="Smelter not listed",C197="Smelter not yet identified"),MATCH($B197&amp;$D197,'Smelter Look-up'!$J:$J,0),MATCH($B197&amp;$C197,'Smelter Look-up'!$J:$J,0)))</f>
        <v>#N/A</v>
      </c>
      <c r="W197" s="263"/>
      <c r="X197" s="263">
        <f t="shared" ref="X197" si="28">IF(AND(C197="Smelter not listed",OR(LEN(D197)=0,LEN(E197)=0)),1,0)</f>
        <v>0</v>
      </c>
      <c r="Y197" s="263"/>
      <c r="Z197" s="263"/>
      <c r="AB197" s="265" t="str">
        <f t="shared" ref="AB197" si="29">B197&amp;C197</f>
        <v/>
      </c>
    </row>
    <row r="198" spans="1:28" s="264" customFormat="1" ht="20.399999999999999">
      <c r="A198" s="207"/>
      <c r="B198" s="208"/>
      <c r="C198" s="212"/>
      <c r="D198" s="270"/>
      <c r="E198" s="208"/>
      <c r="F198" s="208"/>
      <c r="G198" s="208"/>
      <c r="H198" s="209"/>
      <c r="I198" s="210"/>
      <c r="J198" s="210"/>
      <c r="K198" s="260"/>
      <c r="L198" s="260"/>
      <c r="M198" s="260"/>
      <c r="N198" s="260"/>
      <c r="O198" s="260"/>
      <c r="P198" s="211"/>
      <c r="Q198" s="261"/>
      <c r="R198" s="208" t="str">
        <f ca="1">IF(ISERROR($V198),"",OFFSET('Smelter Look-up'!$C$4,$V198-4,0)&amp;"")</f>
        <v/>
      </c>
      <c r="S198" s="215" t="str">
        <f t="shared" ref="S198:S229" ca="1" si="30">IF(B198="","",IF(ISERROR(MATCH($E198,CL,0)),"Unknown",INDIRECT("'C'!$A$"&amp;MATCH($E198,CL,0)+1)))</f>
        <v/>
      </c>
      <c r="T198" s="215" t="str">
        <f ca="1">IF(B198="","",IF(ISERROR(MATCH($J198,SorP!$B$1:$B$6230,0)),"",INDIRECT("'SorP'!$A$"&amp;MATCH($J198,SorP!$B$1:$B$6230,0))))</f>
        <v/>
      </c>
      <c r="U198" s="231"/>
      <c r="V198" s="262" t="e">
        <f>IF(C198="",NA(),IF(OR(C198="Smelter not listed",C198="Smelter not yet identified"),MATCH($B198&amp;$D198,'Smelter Look-up'!$J:$J,0),MATCH($B198&amp;$C198,'Smelter Look-up'!$J:$J,0)))</f>
        <v>#N/A</v>
      </c>
      <c r="W198" s="263"/>
      <c r="X198" s="263">
        <f t="shared" ref="X198:X229" si="31">IF(AND(C198="Smelter not listed",OR(LEN(D198)=0,LEN(E198)=0)),1,0)</f>
        <v>0</v>
      </c>
      <c r="Y198" s="263"/>
      <c r="Z198" s="263"/>
      <c r="AB198" s="265" t="str">
        <f t="shared" ref="AB198:AB229" si="32">B198&amp;C198</f>
        <v/>
      </c>
    </row>
    <row r="199" spans="1:28" s="264" customFormat="1" ht="20.399999999999999">
      <c r="A199" s="207"/>
      <c r="B199" s="208"/>
      <c r="C199" s="212"/>
      <c r="D199" s="270"/>
      <c r="E199" s="208"/>
      <c r="F199" s="208"/>
      <c r="G199" s="208"/>
      <c r="H199" s="209"/>
      <c r="I199" s="210"/>
      <c r="J199" s="210"/>
      <c r="K199" s="260"/>
      <c r="L199" s="260"/>
      <c r="M199" s="260"/>
      <c r="N199" s="260"/>
      <c r="O199" s="260"/>
      <c r="P199" s="211"/>
      <c r="Q199" s="261"/>
      <c r="R199" s="208" t="str">
        <f ca="1">IF(ISERROR($V199),"",OFFSET('Smelter Look-up'!$C$4,$V199-4,0)&amp;"")</f>
        <v/>
      </c>
      <c r="S199" s="215" t="str">
        <f t="shared" ca="1" si="30"/>
        <v/>
      </c>
      <c r="T199" s="215" t="str">
        <f ca="1">IF(B199="","",IF(ISERROR(MATCH($J199,SorP!$B$1:$B$6230,0)),"",INDIRECT("'SorP'!$A$"&amp;MATCH($J199,SorP!$B$1:$B$6230,0))))</f>
        <v/>
      </c>
      <c r="U199" s="231"/>
      <c r="V199" s="262" t="e">
        <f>IF(C199="",NA(),IF(OR(C199="Smelter not listed",C199="Smelter not yet identified"),MATCH($B199&amp;$D199,'Smelter Look-up'!$J:$J,0),MATCH($B199&amp;$C199,'Smelter Look-up'!$J:$J,0)))</f>
        <v>#N/A</v>
      </c>
      <c r="W199" s="263"/>
      <c r="X199" s="263">
        <f t="shared" si="31"/>
        <v>0</v>
      </c>
      <c r="Y199" s="263"/>
      <c r="Z199" s="263"/>
      <c r="AB199" s="265" t="str">
        <f t="shared" si="32"/>
        <v/>
      </c>
    </row>
    <row r="200" spans="1:28" s="264" customFormat="1" ht="20.399999999999999">
      <c r="A200" s="207"/>
      <c r="B200" s="208"/>
      <c r="C200" s="212"/>
      <c r="D200" s="270"/>
      <c r="E200" s="208"/>
      <c r="F200" s="208"/>
      <c r="G200" s="208"/>
      <c r="H200" s="209"/>
      <c r="I200" s="210"/>
      <c r="J200" s="210"/>
      <c r="K200" s="260"/>
      <c r="L200" s="260"/>
      <c r="M200" s="260"/>
      <c r="N200" s="260"/>
      <c r="O200" s="260"/>
      <c r="P200" s="211"/>
      <c r="Q200" s="261"/>
      <c r="R200" s="208" t="str">
        <f ca="1">IF(ISERROR($V200),"",OFFSET('Smelter Look-up'!$C$4,$V200-4,0)&amp;"")</f>
        <v/>
      </c>
      <c r="S200" s="215" t="str">
        <f t="shared" ca="1" si="30"/>
        <v/>
      </c>
      <c r="T200" s="215" t="str">
        <f ca="1">IF(B200="","",IF(ISERROR(MATCH($J200,SorP!$B$1:$B$6230,0)),"",INDIRECT("'SorP'!$A$"&amp;MATCH($J200,SorP!$B$1:$B$6230,0))))</f>
        <v/>
      </c>
      <c r="U200" s="231"/>
      <c r="V200" s="262" t="e">
        <f>IF(C200="",NA(),IF(OR(C200="Smelter not listed",C200="Smelter not yet identified"),MATCH($B200&amp;$D200,'Smelter Look-up'!$J:$J,0),MATCH($B200&amp;$C200,'Smelter Look-up'!$J:$J,0)))</f>
        <v>#N/A</v>
      </c>
      <c r="W200" s="263"/>
      <c r="X200" s="263">
        <f t="shared" si="31"/>
        <v>0</v>
      </c>
      <c r="Y200" s="263"/>
      <c r="Z200" s="263"/>
      <c r="AB200" s="265" t="str">
        <f t="shared" si="32"/>
        <v/>
      </c>
    </row>
    <row r="201" spans="1:28" s="264" customFormat="1" ht="20.399999999999999">
      <c r="A201" s="207"/>
      <c r="B201" s="208"/>
      <c r="C201" s="212"/>
      <c r="D201" s="270"/>
      <c r="E201" s="208"/>
      <c r="F201" s="208"/>
      <c r="G201" s="208"/>
      <c r="H201" s="209"/>
      <c r="I201" s="210"/>
      <c r="J201" s="210"/>
      <c r="K201" s="260"/>
      <c r="L201" s="260"/>
      <c r="M201" s="260"/>
      <c r="N201" s="260"/>
      <c r="O201" s="260"/>
      <c r="P201" s="211"/>
      <c r="Q201" s="261"/>
      <c r="R201" s="208" t="str">
        <f ca="1">IF(ISERROR($V201),"",OFFSET('Smelter Look-up'!$C$4,$V201-4,0)&amp;"")</f>
        <v/>
      </c>
      <c r="S201" s="215" t="str">
        <f t="shared" ca="1" si="30"/>
        <v/>
      </c>
      <c r="T201" s="215" t="str">
        <f ca="1">IF(B201="","",IF(ISERROR(MATCH($J201,SorP!$B$1:$B$6230,0)),"",INDIRECT("'SorP'!$A$"&amp;MATCH($J201,SorP!$B$1:$B$6230,0))))</f>
        <v/>
      </c>
      <c r="U201" s="231"/>
      <c r="V201" s="262" t="e">
        <f>IF(C201="",NA(),IF(OR(C201="Smelter not listed",C201="Smelter not yet identified"),MATCH($B201&amp;$D201,'Smelter Look-up'!$J:$J,0),MATCH($B201&amp;$C201,'Smelter Look-up'!$J:$J,0)))</f>
        <v>#N/A</v>
      </c>
      <c r="W201" s="263"/>
      <c r="X201" s="263">
        <f t="shared" si="31"/>
        <v>0</v>
      </c>
      <c r="Y201" s="263"/>
      <c r="Z201" s="263"/>
      <c r="AB201" s="265" t="str">
        <f t="shared" si="32"/>
        <v/>
      </c>
    </row>
    <row r="202" spans="1:28" s="264" customFormat="1" ht="20.399999999999999">
      <c r="A202" s="207"/>
      <c r="B202" s="208"/>
      <c r="C202" s="212"/>
      <c r="D202" s="270"/>
      <c r="E202" s="208"/>
      <c r="F202" s="208"/>
      <c r="G202" s="208"/>
      <c r="H202" s="209"/>
      <c r="I202" s="210"/>
      <c r="J202" s="210"/>
      <c r="K202" s="260"/>
      <c r="L202" s="260"/>
      <c r="M202" s="260"/>
      <c r="N202" s="260"/>
      <c r="O202" s="260"/>
      <c r="P202" s="211"/>
      <c r="Q202" s="261"/>
      <c r="R202" s="208" t="str">
        <f ca="1">IF(ISERROR($V202),"",OFFSET('Smelter Look-up'!$C$4,$V202-4,0)&amp;"")</f>
        <v/>
      </c>
      <c r="S202" s="215" t="str">
        <f t="shared" ca="1" si="30"/>
        <v/>
      </c>
      <c r="T202" s="215" t="str">
        <f ca="1">IF(B202="","",IF(ISERROR(MATCH($J202,SorP!$B$1:$B$6230,0)),"",INDIRECT("'SorP'!$A$"&amp;MATCH($J202,SorP!$B$1:$B$6230,0))))</f>
        <v/>
      </c>
      <c r="U202" s="231"/>
      <c r="V202" s="262" t="e">
        <f>IF(C202="",NA(),IF(OR(C202="Smelter not listed",C202="Smelter not yet identified"),MATCH($B202&amp;$D202,'Smelter Look-up'!$J:$J,0),MATCH($B202&amp;$C202,'Smelter Look-up'!$J:$J,0)))</f>
        <v>#N/A</v>
      </c>
      <c r="W202" s="263"/>
      <c r="X202" s="263">
        <f t="shared" si="31"/>
        <v>0</v>
      </c>
      <c r="Y202" s="263"/>
      <c r="Z202" s="263"/>
      <c r="AB202" s="265" t="str">
        <f t="shared" si="32"/>
        <v/>
      </c>
    </row>
    <row r="203" spans="1:28" s="264" customFormat="1" ht="20.399999999999999">
      <c r="A203" s="207"/>
      <c r="B203" s="208"/>
      <c r="C203" s="212"/>
      <c r="D203" s="270"/>
      <c r="E203" s="208"/>
      <c r="F203" s="208"/>
      <c r="G203" s="208"/>
      <c r="H203" s="209"/>
      <c r="I203" s="210"/>
      <c r="J203" s="210"/>
      <c r="K203" s="260"/>
      <c r="L203" s="260"/>
      <c r="M203" s="260"/>
      <c r="N203" s="260"/>
      <c r="O203" s="260"/>
      <c r="P203" s="211"/>
      <c r="Q203" s="261"/>
      <c r="R203" s="208" t="str">
        <f ca="1">IF(ISERROR($V203),"",OFFSET('Smelter Look-up'!$C$4,$V203-4,0)&amp;"")</f>
        <v/>
      </c>
      <c r="S203" s="215" t="str">
        <f t="shared" ca="1" si="30"/>
        <v/>
      </c>
      <c r="T203" s="215" t="str">
        <f ca="1">IF(B203="","",IF(ISERROR(MATCH($J203,SorP!$B$1:$B$6230,0)),"",INDIRECT("'SorP'!$A$"&amp;MATCH($J203,SorP!$B$1:$B$6230,0))))</f>
        <v/>
      </c>
      <c r="U203" s="231"/>
      <c r="V203" s="262" t="e">
        <f>IF(C203="",NA(),IF(OR(C203="Smelter not listed",C203="Smelter not yet identified"),MATCH($B203&amp;$D203,'Smelter Look-up'!$J:$J,0),MATCH($B203&amp;$C203,'Smelter Look-up'!$J:$J,0)))</f>
        <v>#N/A</v>
      </c>
      <c r="W203" s="263"/>
      <c r="X203" s="263">
        <f t="shared" si="31"/>
        <v>0</v>
      </c>
      <c r="Y203" s="263"/>
      <c r="Z203" s="263"/>
      <c r="AB203" s="265" t="str">
        <f t="shared" si="32"/>
        <v/>
      </c>
    </row>
    <row r="204" spans="1:28" s="264" customFormat="1" ht="20.399999999999999">
      <c r="A204" s="207"/>
      <c r="B204" s="208"/>
      <c r="C204" s="212"/>
      <c r="D204" s="270"/>
      <c r="E204" s="208"/>
      <c r="F204" s="208"/>
      <c r="G204" s="208"/>
      <c r="H204" s="209"/>
      <c r="I204" s="210"/>
      <c r="J204" s="210"/>
      <c r="K204" s="260"/>
      <c r="L204" s="260"/>
      <c r="M204" s="260"/>
      <c r="N204" s="260"/>
      <c r="O204" s="260"/>
      <c r="P204" s="211"/>
      <c r="Q204" s="261"/>
      <c r="R204" s="208" t="str">
        <f ca="1">IF(ISERROR($V204),"",OFFSET('Smelter Look-up'!$C$4,$V204-4,0)&amp;"")</f>
        <v/>
      </c>
      <c r="S204" s="215" t="str">
        <f t="shared" ca="1" si="30"/>
        <v/>
      </c>
      <c r="T204" s="215" t="str">
        <f ca="1">IF(B204="","",IF(ISERROR(MATCH($J204,SorP!$B$1:$B$6230,0)),"",INDIRECT("'SorP'!$A$"&amp;MATCH($J204,SorP!$B$1:$B$6230,0))))</f>
        <v/>
      </c>
      <c r="U204" s="231"/>
      <c r="V204" s="262" t="e">
        <f>IF(C204="",NA(),IF(OR(C204="Smelter not listed",C204="Smelter not yet identified"),MATCH($B204&amp;$D204,'Smelter Look-up'!$J:$J,0),MATCH($B204&amp;$C204,'Smelter Look-up'!$J:$J,0)))</f>
        <v>#N/A</v>
      </c>
      <c r="W204" s="263"/>
      <c r="X204" s="263">
        <f t="shared" si="31"/>
        <v>0</v>
      </c>
      <c r="Y204" s="263"/>
      <c r="Z204" s="263"/>
      <c r="AB204" s="265" t="str">
        <f t="shared" si="32"/>
        <v/>
      </c>
    </row>
    <row r="205" spans="1:28" s="264" customFormat="1" ht="20.399999999999999">
      <c r="A205" s="207"/>
      <c r="B205" s="208"/>
      <c r="C205" s="212"/>
      <c r="D205" s="270"/>
      <c r="E205" s="208"/>
      <c r="F205" s="208"/>
      <c r="G205" s="208"/>
      <c r="H205" s="209"/>
      <c r="I205" s="210"/>
      <c r="J205" s="210"/>
      <c r="K205" s="260"/>
      <c r="L205" s="260"/>
      <c r="M205" s="260"/>
      <c r="N205" s="260"/>
      <c r="O205" s="260"/>
      <c r="P205" s="211"/>
      <c r="Q205" s="261"/>
      <c r="R205" s="208" t="str">
        <f ca="1">IF(ISERROR($V205),"",OFFSET('Smelter Look-up'!$C$4,$V205-4,0)&amp;"")</f>
        <v/>
      </c>
      <c r="S205" s="215" t="str">
        <f t="shared" ca="1" si="30"/>
        <v/>
      </c>
      <c r="T205" s="215" t="str">
        <f ca="1">IF(B205="","",IF(ISERROR(MATCH($J205,SorP!$B$1:$B$6230,0)),"",INDIRECT("'SorP'!$A$"&amp;MATCH($J205,SorP!$B$1:$B$6230,0))))</f>
        <v/>
      </c>
      <c r="U205" s="231"/>
      <c r="V205" s="262" t="e">
        <f>IF(C205="",NA(),IF(OR(C205="Smelter not listed",C205="Smelter not yet identified"),MATCH($B205&amp;$D205,'Smelter Look-up'!$J:$J,0),MATCH($B205&amp;$C205,'Smelter Look-up'!$J:$J,0)))</f>
        <v>#N/A</v>
      </c>
      <c r="W205" s="263"/>
      <c r="X205" s="263">
        <f t="shared" si="31"/>
        <v>0</v>
      </c>
      <c r="Y205" s="263"/>
      <c r="Z205" s="263"/>
      <c r="AB205" s="265" t="str">
        <f t="shared" si="32"/>
        <v/>
      </c>
    </row>
    <row r="206" spans="1:28" s="264" customFormat="1" ht="20.399999999999999">
      <c r="A206" s="207"/>
      <c r="B206" s="208"/>
      <c r="C206" s="212"/>
      <c r="D206" s="270"/>
      <c r="E206" s="208"/>
      <c r="F206" s="208"/>
      <c r="G206" s="208"/>
      <c r="H206" s="209"/>
      <c r="I206" s="210"/>
      <c r="J206" s="210"/>
      <c r="K206" s="260"/>
      <c r="L206" s="260"/>
      <c r="M206" s="260"/>
      <c r="N206" s="260"/>
      <c r="O206" s="260"/>
      <c r="P206" s="211"/>
      <c r="Q206" s="261"/>
      <c r="R206" s="208" t="str">
        <f ca="1">IF(ISERROR($V206),"",OFFSET('Smelter Look-up'!$C$4,$V206-4,0)&amp;"")</f>
        <v/>
      </c>
      <c r="S206" s="215" t="str">
        <f t="shared" ca="1" si="30"/>
        <v/>
      </c>
      <c r="T206" s="215" t="str">
        <f ca="1">IF(B206="","",IF(ISERROR(MATCH($J206,SorP!$B$1:$B$6230,0)),"",INDIRECT("'SorP'!$A$"&amp;MATCH($J206,SorP!$B$1:$B$6230,0))))</f>
        <v/>
      </c>
      <c r="U206" s="231"/>
      <c r="V206" s="262" t="e">
        <f>IF(C206="",NA(),IF(OR(C206="Smelter not listed",C206="Smelter not yet identified"),MATCH($B206&amp;$D206,'Smelter Look-up'!$J:$J,0),MATCH($B206&amp;$C206,'Smelter Look-up'!$J:$J,0)))</f>
        <v>#N/A</v>
      </c>
      <c r="W206" s="263"/>
      <c r="X206" s="263">
        <f t="shared" si="31"/>
        <v>0</v>
      </c>
      <c r="Y206" s="263"/>
      <c r="Z206" s="263"/>
      <c r="AB206" s="265" t="str">
        <f t="shared" si="32"/>
        <v/>
      </c>
    </row>
    <row r="207" spans="1:28" s="264" customFormat="1" ht="20.399999999999999">
      <c r="A207" s="207"/>
      <c r="B207" s="208"/>
      <c r="C207" s="212"/>
      <c r="D207" s="270"/>
      <c r="E207" s="208"/>
      <c r="F207" s="208"/>
      <c r="G207" s="208"/>
      <c r="H207" s="209"/>
      <c r="I207" s="210"/>
      <c r="J207" s="210"/>
      <c r="K207" s="260"/>
      <c r="L207" s="260"/>
      <c r="M207" s="260"/>
      <c r="N207" s="260"/>
      <c r="O207" s="260"/>
      <c r="P207" s="211"/>
      <c r="Q207" s="261"/>
      <c r="R207" s="208" t="str">
        <f ca="1">IF(ISERROR($V207),"",OFFSET('Smelter Look-up'!$C$4,$V207-4,0)&amp;"")</f>
        <v/>
      </c>
      <c r="S207" s="215" t="str">
        <f t="shared" ca="1" si="30"/>
        <v/>
      </c>
      <c r="T207" s="215" t="str">
        <f ca="1">IF(B207="","",IF(ISERROR(MATCH($J207,SorP!$B$1:$B$6230,0)),"",INDIRECT("'SorP'!$A$"&amp;MATCH($J207,SorP!$B$1:$B$6230,0))))</f>
        <v/>
      </c>
      <c r="U207" s="231"/>
      <c r="V207" s="262" t="e">
        <f>IF(C207="",NA(),IF(OR(C207="Smelter not listed",C207="Smelter not yet identified"),MATCH($B207&amp;$D207,'Smelter Look-up'!$J:$J,0),MATCH($B207&amp;$C207,'Smelter Look-up'!$J:$J,0)))</f>
        <v>#N/A</v>
      </c>
      <c r="W207" s="263"/>
      <c r="X207" s="263">
        <f t="shared" si="31"/>
        <v>0</v>
      </c>
      <c r="Y207" s="263"/>
      <c r="Z207" s="263"/>
      <c r="AB207" s="265" t="str">
        <f t="shared" si="32"/>
        <v/>
      </c>
    </row>
    <row r="208" spans="1:28" s="264" customFormat="1" ht="20.399999999999999">
      <c r="A208" s="207"/>
      <c r="B208" s="208"/>
      <c r="C208" s="212"/>
      <c r="D208" s="270"/>
      <c r="E208" s="208"/>
      <c r="F208" s="208"/>
      <c r="G208" s="208"/>
      <c r="H208" s="209"/>
      <c r="I208" s="210"/>
      <c r="J208" s="210"/>
      <c r="K208" s="260"/>
      <c r="L208" s="260"/>
      <c r="M208" s="260"/>
      <c r="N208" s="260"/>
      <c r="O208" s="260"/>
      <c r="P208" s="211"/>
      <c r="Q208" s="261"/>
      <c r="R208" s="208" t="str">
        <f ca="1">IF(ISERROR($V208),"",OFFSET('Smelter Look-up'!$C$4,$V208-4,0)&amp;"")</f>
        <v/>
      </c>
      <c r="S208" s="215" t="str">
        <f t="shared" ca="1" si="30"/>
        <v/>
      </c>
      <c r="T208" s="215" t="str">
        <f ca="1">IF(B208="","",IF(ISERROR(MATCH($J208,SorP!$B$1:$B$6230,0)),"",INDIRECT("'SorP'!$A$"&amp;MATCH($J208,SorP!$B$1:$B$6230,0))))</f>
        <v/>
      </c>
      <c r="U208" s="231"/>
      <c r="V208" s="262" t="e">
        <f>IF(C208="",NA(),IF(OR(C208="Smelter not listed",C208="Smelter not yet identified"),MATCH($B208&amp;$D208,'Smelter Look-up'!$J:$J,0),MATCH($B208&amp;$C208,'Smelter Look-up'!$J:$J,0)))</f>
        <v>#N/A</v>
      </c>
      <c r="W208" s="263"/>
      <c r="X208" s="263">
        <f t="shared" si="31"/>
        <v>0</v>
      </c>
      <c r="Y208" s="263"/>
      <c r="Z208" s="263"/>
      <c r="AB208" s="265" t="str">
        <f t="shared" si="32"/>
        <v/>
      </c>
    </row>
    <row r="209" spans="1:28" s="264" customFormat="1" ht="20.399999999999999">
      <c r="A209" s="207"/>
      <c r="B209" s="208"/>
      <c r="C209" s="212"/>
      <c r="D209" s="270"/>
      <c r="E209" s="208"/>
      <c r="F209" s="208"/>
      <c r="G209" s="208"/>
      <c r="H209" s="209"/>
      <c r="I209" s="210"/>
      <c r="J209" s="210"/>
      <c r="K209" s="260"/>
      <c r="L209" s="260"/>
      <c r="M209" s="260"/>
      <c r="N209" s="260"/>
      <c r="O209" s="260"/>
      <c r="P209" s="211"/>
      <c r="Q209" s="261"/>
      <c r="R209" s="208" t="str">
        <f ca="1">IF(ISERROR($V209),"",OFFSET('Smelter Look-up'!$C$4,$V209-4,0)&amp;"")</f>
        <v/>
      </c>
      <c r="S209" s="215" t="str">
        <f t="shared" ca="1" si="30"/>
        <v/>
      </c>
      <c r="T209" s="215" t="str">
        <f ca="1">IF(B209="","",IF(ISERROR(MATCH($J209,SorP!$B$1:$B$6230,0)),"",INDIRECT("'SorP'!$A$"&amp;MATCH($J209,SorP!$B$1:$B$6230,0))))</f>
        <v/>
      </c>
      <c r="U209" s="231"/>
      <c r="V209" s="262" t="e">
        <f>IF(C209="",NA(),IF(OR(C209="Smelter not listed",C209="Smelter not yet identified"),MATCH($B209&amp;$D209,'Smelter Look-up'!$J:$J,0),MATCH($B209&amp;$C209,'Smelter Look-up'!$J:$J,0)))</f>
        <v>#N/A</v>
      </c>
      <c r="W209" s="263"/>
      <c r="X209" s="263">
        <f t="shared" si="31"/>
        <v>0</v>
      </c>
      <c r="Y209" s="263"/>
      <c r="Z209" s="263"/>
      <c r="AB209" s="265" t="str">
        <f t="shared" si="32"/>
        <v/>
      </c>
    </row>
    <row r="210" spans="1:28" s="264" customFormat="1" ht="20.399999999999999">
      <c r="A210" s="207"/>
      <c r="B210" s="208"/>
      <c r="C210" s="212"/>
      <c r="D210" s="270"/>
      <c r="E210" s="208"/>
      <c r="F210" s="208"/>
      <c r="G210" s="208"/>
      <c r="H210" s="209"/>
      <c r="I210" s="210"/>
      <c r="J210" s="210"/>
      <c r="K210" s="260"/>
      <c r="L210" s="260"/>
      <c r="M210" s="260"/>
      <c r="N210" s="260"/>
      <c r="O210" s="260"/>
      <c r="P210" s="211"/>
      <c r="Q210" s="261"/>
      <c r="R210" s="208" t="str">
        <f ca="1">IF(ISERROR($V210),"",OFFSET('Smelter Look-up'!$C$4,$V210-4,0)&amp;"")</f>
        <v/>
      </c>
      <c r="S210" s="215" t="str">
        <f t="shared" ca="1" si="30"/>
        <v/>
      </c>
      <c r="T210" s="215" t="str">
        <f ca="1">IF(B210="","",IF(ISERROR(MATCH($J210,SorP!$B$1:$B$6230,0)),"",INDIRECT("'SorP'!$A$"&amp;MATCH($J210,SorP!$B$1:$B$6230,0))))</f>
        <v/>
      </c>
      <c r="U210" s="231"/>
      <c r="V210" s="262" t="e">
        <f>IF(C210="",NA(),IF(OR(C210="Smelter not listed",C210="Smelter not yet identified"),MATCH($B210&amp;$D210,'Smelter Look-up'!$J:$J,0),MATCH($B210&amp;$C210,'Smelter Look-up'!$J:$J,0)))</f>
        <v>#N/A</v>
      </c>
      <c r="W210" s="263"/>
      <c r="X210" s="263">
        <f t="shared" si="31"/>
        <v>0</v>
      </c>
      <c r="Y210" s="263"/>
      <c r="Z210" s="263"/>
      <c r="AB210" s="265" t="str">
        <f t="shared" si="32"/>
        <v/>
      </c>
    </row>
    <row r="211" spans="1:28" s="264" customFormat="1" ht="20.399999999999999">
      <c r="A211" s="207"/>
      <c r="B211" s="208"/>
      <c r="C211" s="212"/>
      <c r="D211" s="270"/>
      <c r="E211" s="208"/>
      <c r="F211" s="208"/>
      <c r="G211" s="208"/>
      <c r="H211" s="209"/>
      <c r="I211" s="210"/>
      <c r="J211" s="210"/>
      <c r="K211" s="260"/>
      <c r="L211" s="260"/>
      <c r="M211" s="260"/>
      <c r="N211" s="260"/>
      <c r="O211" s="260"/>
      <c r="P211" s="211"/>
      <c r="Q211" s="261"/>
      <c r="R211" s="208" t="str">
        <f ca="1">IF(ISERROR($V211),"",OFFSET('Smelter Look-up'!$C$4,$V211-4,0)&amp;"")</f>
        <v/>
      </c>
      <c r="S211" s="215" t="str">
        <f t="shared" ca="1" si="30"/>
        <v/>
      </c>
      <c r="T211" s="215" t="str">
        <f ca="1">IF(B211="","",IF(ISERROR(MATCH($J211,SorP!$B$1:$B$6230,0)),"",INDIRECT("'SorP'!$A$"&amp;MATCH($J211,SorP!$B$1:$B$6230,0))))</f>
        <v/>
      </c>
      <c r="U211" s="231"/>
      <c r="V211" s="262" t="e">
        <f>IF(C211="",NA(),IF(OR(C211="Smelter not listed",C211="Smelter not yet identified"),MATCH($B211&amp;$D211,'Smelter Look-up'!$J:$J,0),MATCH($B211&amp;$C211,'Smelter Look-up'!$J:$J,0)))</f>
        <v>#N/A</v>
      </c>
      <c r="W211" s="263"/>
      <c r="X211" s="263">
        <f t="shared" si="31"/>
        <v>0</v>
      </c>
      <c r="Y211" s="263"/>
      <c r="Z211" s="263"/>
      <c r="AB211" s="265" t="str">
        <f t="shared" si="32"/>
        <v/>
      </c>
    </row>
    <row r="212" spans="1:28" s="264" customFormat="1" ht="20.399999999999999">
      <c r="A212" s="207"/>
      <c r="B212" s="208"/>
      <c r="C212" s="212"/>
      <c r="D212" s="270"/>
      <c r="E212" s="208"/>
      <c r="F212" s="208"/>
      <c r="G212" s="208"/>
      <c r="H212" s="209"/>
      <c r="I212" s="210"/>
      <c r="J212" s="210"/>
      <c r="K212" s="260"/>
      <c r="L212" s="260"/>
      <c r="M212" s="260"/>
      <c r="N212" s="260"/>
      <c r="O212" s="260"/>
      <c r="P212" s="211"/>
      <c r="Q212" s="261"/>
      <c r="R212" s="208" t="str">
        <f ca="1">IF(ISERROR($V212),"",OFFSET('Smelter Look-up'!$C$4,$V212-4,0)&amp;"")</f>
        <v/>
      </c>
      <c r="S212" s="215" t="str">
        <f t="shared" ca="1" si="30"/>
        <v/>
      </c>
      <c r="T212" s="215" t="str">
        <f ca="1">IF(B212="","",IF(ISERROR(MATCH($J212,SorP!$B$1:$B$6230,0)),"",INDIRECT("'SorP'!$A$"&amp;MATCH($J212,SorP!$B$1:$B$6230,0))))</f>
        <v/>
      </c>
      <c r="U212" s="231"/>
      <c r="V212" s="262" t="e">
        <f>IF(C212="",NA(),IF(OR(C212="Smelter not listed",C212="Smelter not yet identified"),MATCH($B212&amp;$D212,'Smelter Look-up'!$J:$J,0),MATCH($B212&amp;$C212,'Smelter Look-up'!$J:$J,0)))</f>
        <v>#N/A</v>
      </c>
      <c r="W212" s="263"/>
      <c r="X212" s="263">
        <f t="shared" si="31"/>
        <v>0</v>
      </c>
      <c r="Y212" s="263"/>
      <c r="Z212" s="263"/>
      <c r="AB212" s="265" t="str">
        <f t="shared" si="32"/>
        <v/>
      </c>
    </row>
    <row r="213" spans="1:28" s="264" customFormat="1" ht="20.399999999999999">
      <c r="A213" s="207"/>
      <c r="B213" s="208"/>
      <c r="C213" s="212"/>
      <c r="D213" s="270"/>
      <c r="E213" s="208"/>
      <c r="F213" s="208"/>
      <c r="G213" s="208"/>
      <c r="H213" s="209"/>
      <c r="I213" s="210"/>
      <c r="J213" s="210"/>
      <c r="K213" s="260"/>
      <c r="L213" s="260"/>
      <c r="M213" s="260"/>
      <c r="N213" s="260"/>
      <c r="O213" s="260"/>
      <c r="P213" s="211"/>
      <c r="Q213" s="261"/>
      <c r="R213" s="208" t="str">
        <f ca="1">IF(ISERROR($V213),"",OFFSET('Smelter Look-up'!$C$4,$V213-4,0)&amp;"")</f>
        <v/>
      </c>
      <c r="S213" s="215" t="str">
        <f t="shared" ca="1" si="30"/>
        <v/>
      </c>
      <c r="T213" s="215" t="str">
        <f ca="1">IF(B213="","",IF(ISERROR(MATCH($J213,SorP!$B$1:$B$6230,0)),"",INDIRECT("'SorP'!$A$"&amp;MATCH($J213,SorP!$B$1:$B$6230,0))))</f>
        <v/>
      </c>
      <c r="U213" s="231"/>
      <c r="V213" s="262" t="e">
        <f>IF(C213="",NA(),IF(OR(C213="Smelter not listed",C213="Smelter not yet identified"),MATCH($B213&amp;$D213,'Smelter Look-up'!$J:$J,0),MATCH($B213&amp;$C213,'Smelter Look-up'!$J:$J,0)))</f>
        <v>#N/A</v>
      </c>
      <c r="W213" s="263"/>
      <c r="X213" s="263">
        <f t="shared" si="31"/>
        <v>0</v>
      </c>
      <c r="Y213" s="263"/>
      <c r="Z213" s="263"/>
      <c r="AB213" s="265" t="str">
        <f t="shared" si="32"/>
        <v/>
      </c>
    </row>
    <row r="214" spans="1:28" s="264" customFormat="1" ht="20.399999999999999">
      <c r="A214" s="207"/>
      <c r="B214" s="208"/>
      <c r="C214" s="212"/>
      <c r="D214" s="270"/>
      <c r="E214" s="208"/>
      <c r="F214" s="208"/>
      <c r="G214" s="208"/>
      <c r="H214" s="209"/>
      <c r="I214" s="210"/>
      <c r="J214" s="210"/>
      <c r="K214" s="260"/>
      <c r="L214" s="260"/>
      <c r="M214" s="260"/>
      <c r="N214" s="260"/>
      <c r="O214" s="260"/>
      <c r="P214" s="211"/>
      <c r="Q214" s="261"/>
      <c r="R214" s="208" t="str">
        <f ca="1">IF(ISERROR($V214),"",OFFSET('Smelter Look-up'!$C$4,$V214-4,0)&amp;"")</f>
        <v/>
      </c>
      <c r="S214" s="215" t="str">
        <f t="shared" ca="1" si="30"/>
        <v/>
      </c>
      <c r="T214" s="215" t="str">
        <f ca="1">IF(B214="","",IF(ISERROR(MATCH($J214,SorP!$B$1:$B$6230,0)),"",INDIRECT("'SorP'!$A$"&amp;MATCH($J214,SorP!$B$1:$B$6230,0))))</f>
        <v/>
      </c>
      <c r="U214" s="231"/>
      <c r="V214" s="262" t="e">
        <f>IF(C214="",NA(),IF(OR(C214="Smelter not listed",C214="Smelter not yet identified"),MATCH($B214&amp;$D214,'Smelter Look-up'!$J:$J,0),MATCH($B214&amp;$C214,'Smelter Look-up'!$J:$J,0)))</f>
        <v>#N/A</v>
      </c>
      <c r="W214" s="263"/>
      <c r="X214" s="263">
        <f t="shared" si="31"/>
        <v>0</v>
      </c>
      <c r="Y214" s="263"/>
      <c r="Z214" s="263"/>
      <c r="AB214" s="265" t="str">
        <f t="shared" si="32"/>
        <v/>
      </c>
    </row>
    <row r="215" spans="1:28" s="264" customFormat="1" ht="20.399999999999999">
      <c r="A215" s="207"/>
      <c r="B215" s="208"/>
      <c r="C215" s="212"/>
      <c r="D215" s="270"/>
      <c r="E215" s="208"/>
      <c r="F215" s="208"/>
      <c r="G215" s="208"/>
      <c r="H215" s="209"/>
      <c r="I215" s="210"/>
      <c r="J215" s="210"/>
      <c r="K215" s="260"/>
      <c r="L215" s="260"/>
      <c r="M215" s="260"/>
      <c r="N215" s="260"/>
      <c r="O215" s="260"/>
      <c r="P215" s="211"/>
      <c r="Q215" s="261"/>
      <c r="R215" s="208" t="str">
        <f ca="1">IF(ISERROR($V215),"",OFFSET('Smelter Look-up'!$C$4,$V215-4,0)&amp;"")</f>
        <v/>
      </c>
      <c r="S215" s="215" t="str">
        <f t="shared" ca="1" si="30"/>
        <v/>
      </c>
      <c r="T215" s="215" t="str">
        <f ca="1">IF(B215="","",IF(ISERROR(MATCH($J215,SorP!$B$1:$B$6230,0)),"",INDIRECT("'SorP'!$A$"&amp;MATCH($J215,SorP!$B$1:$B$6230,0))))</f>
        <v/>
      </c>
      <c r="U215" s="231"/>
      <c r="V215" s="262" t="e">
        <f>IF(C215="",NA(),IF(OR(C215="Smelter not listed",C215="Smelter not yet identified"),MATCH($B215&amp;$D215,'Smelter Look-up'!$J:$J,0),MATCH($B215&amp;$C215,'Smelter Look-up'!$J:$J,0)))</f>
        <v>#N/A</v>
      </c>
      <c r="W215" s="263"/>
      <c r="X215" s="263">
        <f t="shared" si="31"/>
        <v>0</v>
      </c>
      <c r="Y215" s="263"/>
      <c r="Z215" s="263"/>
      <c r="AB215" s="265" t="str">
        <f t="shared" si="32"/>
        <v/>
      </c>
    </row>
    <row r="216" spans="1:28" s="264" customFormat="1" ht="20.399999999999999">
      <c r="A216" s="207"/>
      <c r="B216" s="208"/>
      <c r="C216" s="212"/>
      <c r="D216" s="270"/>
      <c r="E216" s="208"/>
      <c r="F216" s="208"/>
      <c r="G216" s="208"/>
      <c r="H216" s="209"/>
      <c r="I216" s="210"/>
      <c r="J216" s="210"/>
      <c r="K216" s="260"/>
      <c r="L216" s="260"/>
      <c r="M216" s="260"/>
      <c r="N216" s="260"/>
      <c r="O216" s="260"/>
      <c r="P216" s="211"/>
      <c r="Q216" s="261"/>
      <c r="R216" s="208" t="str">
        <f ca="1">IF(ISERROR($V216),"",OFFSET('Smelter Look-up'!$C$4,$V216-4,0)&amp;"")</f>
        <v/>
      </c>
      <c r="S216" s="215" t="str">
        <f t="shared" ca="1" si="30"/>
        <v/>
      </c>
      <c r="T216" s="215" t="str">
        <f ca="1">IF(B216="","",IF(ISERROR(MATCH($J216,SorP!$B$1:$B$6230,0)),"",INDIRECT("'SorP'!$A$"&amp;MATCH($J216,SorP!$B$1:$B$6230,0))))</f>
        <v/>
      </c>
      <c r="U216" s="231"/>
      <c r="V216" s="262" t="e">
        <f>IF(C216="",NA(),IF(OR(C216="Smelter not listed",C216="Smelter not yet identified"),MATCH($B216&amp;$D216,'Smelter Look-up'!$J:$J,0),MATCH($B216&amp;$C216,'Smelter Look-up'!$J:$J,0)))</f>
        <v>#N/A</v>
      </c>
      <c r="W216" s="263"/>
      <c r="X216" s="263">
        <f t="shared" si="31"/>
        <v>0</v>
      </c>
      <c r="Y216" s="263"/>
      <c r="Z216" s="263"/>
      <c r="AB216" s="265" t="str">
        <f t="shared" si="32"/>
        <v/>
      </c>
    </row>
    <row r="217" spans="1:28" s="264" customFormat="1" ht="20.399999999999999">
      <c r="A217" s="207"/>
      <c r="B217" s="208"/>
      <c r="C217" s="212"/>
      <c r="D217" s="270"/>
      <c r="E217" s="208"/>
      <c r="F217" s="208"/>
      <c r="G217" s="208"/>
      <c r="H217" s="209"/>
      <c r="I217" s="210"/>
      <c r="J217" s="210"/>
      <c r="K217" s="260"/>
      <c r="L217" s="260"/>
      <c r="M217" s="260"/>
      <c r="N217" s="260"/>
      <c r="O217" s="260"/>
      <c r="P217" s="211"/>
      <c r="Q217" s="261"/>
      <c r="R217" s="208" t="str">
        <f ca="1">IF(ISERROR($V217),"",OFFSET('Smelter Look-up'!$C$4,$V217-4,0)&amp;"")</f>
        <v/>
      </c>
      <c r="S217" s="215" t="str">
        <f t="shared" ca="1" si="30"/>
        <v/>
      </c>
      <c r="T217" s="215" t="str">
        <f ca="1">IF(B217="","",IF(ISERROR(MATCH($J217,SorP!$B$1:$B$6230,0)),"",INDIRECT("'SorP'!$A$"&amp;MATCH($J217,SorP!$B$1:$B$6230,0))))</f>
        <v/>
      </c>
      <c r="U217" s="231"/>
      <c r="V217" s="262" t="e">
        <f>IF(C217="",NA(),IF(OR(C217="Smelter not listed",C217="Smelter not yet identified"),MATCH($B217&amp;$D217,'Smelter Look-up'!$J:$J,0),MATCH($B217&amp;$C217,'Smelter Look-up'!$J:$J,0)))</f>
        <v>#N/A</v>
      </c>
      <c r="W217" s="263"/>
      <c r="X217" s="263">
        <f t="shared" si="31"/>
        <v>0</v>
      </c>
      <c r="Y217" s="263"/>
      <c r="Z217" s="263"/>
      <c r="AB217" s="265" t="str">
        <f t="shared" si="32"/>
        <v/>
      </c>
    </row>
    <row r="218" spans="1:28" s="264" customFormat="1" ht="20.399999999999999">
      <c r="A218" s="207"/>
      <c r="B218" s="208"/>
      <c r="C218" s="212"/>
      <c r="D218" s="270"/>
      <c r="E218" s="208"/>
      <c r="F218" s="208"/>
      <c r="G218" s="208"/>
      <c r="H218" s="209"/>
      <c r="I218" s="210"/>
      <c r="J218" s="210"/>
      <c r="K218" s="260"/>
      <c r="L218" s="260"/>
      <c r="M218" s="260"/>
      <c r="N218" s="260"/>
      <c r="O218" s="260"/>
      <c r="P218" s="211"/>
      <c r="Q218" s="261"/>
      <c r="R218" s="208" t="str">
        <f ca="1">IF(ISERROR($V218),"",OFFSET('Smelter Look-up'!$C$4,$V218-4,0)&amp;"")</f>
        <v/>
      </c>
      <c r="S218" s="215" t="str">
        <f t="shared" ca="1" si="30"/>
        <v/>
      </c>
      <c r="T218" s="215" t="str">
        <f ca="1">IF(B218="","",IF(ISERROR(MATCH($J218,SorP!$B$1:$B$6230,0)),"",INDIRECT("'SorP'!$A$"&amp;MATCH($J218,SorP!$B$1:$B$6230,0))))</f>
        <v/>
      </c>
      <c r="U218" s="231"/>
      <c r="V218" s="262" t="e">
        <f>IF(C218="",NA(),IF(OR(C218="Smelter not listed",C218="Smelter not yet identified"),MATCH($B218&amp;$D218,'Smelter Look-up'!$J:$J,0),MATCH($B218&amp;$C218,'Smelter Look-up'!$J:$J,0)))</f>
        <v>#N/A</v>
      </c>
      <c r="W218" s="263"/>
      <c r="X218" s="263">
        <f t="shared" si="31"/>
        <v>0</v>
      </c>
      <c r="Y218" s="263"/>
      <c r="Z218" s="263"/>
      <c r="AB218" s="265" t="str">
        <f t="shared" si="32"/>
        <v/>
      </c>
    </row>
    <row r="219" spans="1:28" s="264" customFormat="1" ht="20.399999999999999">
      <c r="A219" s="207"/>
      <c r="B219" s="208"/>
      <c r="C219" s="212"/>
      <c r="D219" s="270"/>
      <c r="E219" s="208"/>
      <c r="F219" s="208"/>
      <c r="G219" s="208"/>
      <c r="H219" s="209"/>
      <c r="I219" s="210"/>
      <c r="J219" s="210"/>
      <c r="K219" s="260"/>
      <c r="L219" s="260"/>
      <c r="M219" s="260"/>
      <c r="N219" s="260"/>
      <c r="O219" s="260"/>
      <c r="P219" s="211"/>
      <c r="Q219" s="261"/>
      <c r="R219" s="208" t="str">
        <f ca="1">IF(ISERROR($V219),"",OFFSET('Smelter Look-up'!$C$4,$V219-4,0)&amp;"")</f>
        <v/>
      </c>
      <c r="S219" s="215" t="str">
        <f t="shared" ca="1" si="30"/>
        <v/>
      </c>
      <c r="T219" s="215" t="str">
        <f ca="1">IF(B219="","",IF(ISERROR(MATCH($J219,SorP!$B$1:$B$6230,0)),"",INDIRECT("'SorP'!$A$"&amp;MATCH($J219,SorP!$B$1:$B$6230,0))))</f>
        <v/>
      </c>
      <c r="U219" s="231"/>
      <c r="V219" s="262" t="e">
        <f>IF(C219="",NA(),IF(OR(C219="Smelter not listed",C219="Smelter not yet identified"),MATCH($B219&amp;$D219,'Smelter Look-up'!$J:$J,0),MATCH($B219&amp;$C219,'Smelter Look-up'!$J:$J,0)))</f>
        <v>#N/A</v>
      </c>
      <c r="W219" s="263"/>
      <c r="X219" s="263">
        <f t="shared" si="31"/>
        <v>0</v>
      </c>
      <c r="Y219" s="263"/>
      <c r="Z219" s="263"/>
      <c r="AB219" s="265" t="str">
        <f t="shared" si="32"/>
        <v/>
      </c>
    </row>
    <row r="220" spans="1:28" s="264" customFormat="1" ht="20.399999999999999">
      <c r="A220" s="207"/>
      <c r="B220" s="208"/>
      <c r="C220" s="212"/>
      <c r="D220" s="270"/>
      <c r="E220" s="208"/>
      <c r="F220" s="208"/>
      <c r="G220" s="208"/>
      <c r="H220" s="209"/>
      <c r="I220" s="210"/>
      <c r="J220" s="210"/>
      <c r="K220" s="260"/>
      <c r="L220" s="260"/>
      <c r="M220" s="260"/>
      <c r="N220" s="260"/>
      <c r="O220" s="260"/>
      <c r="P220" s="211"/>
      <c r="Q220" s="261"/>
      <c r="R220" s="208" t="str">
        <f ca="1">IF(ISERROR($V220),"",OFFSET('Smelter Look-up'!$C$4,$V220-4,0)&amp;"")</f>
        <v/>
      </c>
      <c r="S220" s="215" t="str">
        <f t="shared" ca="1" si="30"/>
        <v/>
      </c>
      <c r="T220" s="215" t="str">
        <f ca="1">IF(B220="","",IF(ISERROR(MATCH($J220,SorP!$B$1:$B$6230,0)),"",INDIRECT("'SorP'!$A$"&amp;MATCH($J220,SorP!$B$1:$B$6230,0))))</f>
        <v/>
      </c>
      <c r="U220" s="231"/>
      <c r="V220" s="262" t="e">
        <f>IF(C220="",NA(),IF(OR(C220="Smelter not listed",C220="Smelter not yet identified"),MATCH($B220&amp;$D220,'Smelter Look-up'!$J:$J,0),MATCH($B220&amp;$C220,'Smelter Look-up'!$J:$J,0)))</f>
        <v>#N/A</v>
      </c>
      <c r="W220" s="263"/>
      <c r="X220" s="263">
        <f t="shared" si="31"/>
        <v>0</v>
      </c>
      <c r="Y220" s="263"/>
      <c r="Z220" s="263"/>
      <c r="AB220" s="265" t="str">
        <f t="shared" si="32"/>
        <v/>
      </c>
    </row>
    <row r="221" spans="1:28" s="264" customFormat="1" ht="20.399999999999999">
      <c r="A221" s="207"/>
      <c r="B221" s="208"/>
      <c r="C221" s="212"/>
      <c r="D221" s="270"/>
      <c r="E221" s="208"/>
      <c r="F221" s="208"/>
      <c r="G221" s="208"/>
      <c r="H221" s="209"/>
      <c r="I221" s="210"/>
      <c r="J221" s="210"/>
      <c r="K221" s="260"/>
      <c r="L221" s="260"/>
      <c r="M221" s="260"/>
      <c r="N221" s="260"/>
      <c r="O221" s="260"/>
      <c r="P221" s="211"/>
      <c r="Q221" s="261"/>
      <c r="R221" s="208" t="str">
        <f ca="1">IF(ISERROR($V221),"",OFFSET('Smelter Look-up'!$C$4,$V221-4,0)&amp;"")</f>
        <v/>
      </c>
      <c r="S221" s="215" t="str">
        <f t="shared" ca="1" si="30"/>
        <v/>
      </c>
      <c r="T221" s="215" t="str">
        <f ca="1">IF(B221="","",IF(ISERROR(MATCH($J221,SorP!$B$1:$B$6230,0)),"",INDIRECT("'SorP'!$A$"&amp;MATCH($J221,SorP!$B$1:$B$6230,0))))</f>
        <v/>
      </c>
      <c r="U221" s="231"/>
      <c r="V221" s="262" t="e">
        <f>IF(C221="",NA(),IF(OR(C221="Smelter not listed",C221="Smelter not yet identified"),MATCH($B221&amp;$D221,'Smelter Look-up'!$J:$J,0),MATCH($B221&amp;$C221,'Smelter Look-up'!$J:$J,0)))</f>
        <v>#N/A</v>
      </c>
      <c r="W221" s="263"/>
      <c r="X221" s="263">
        <f t="shared" si="31"/>
        <v>0</v>
      </c>
      <c r="Y221" s="263"/>
      <c r="Z221" s="263"/>
      <c r="AB221" s="265" t="str">
        <f t="shared" si="32"/>
        <v/>
      </c>
    </row>
    <row r="222" spans="1:28" s="264" customFormat="1" ht="20.399999999999999">
      <c r="A222" s="207"/>
      <c r="B222" s="208"/>
      <c r="C222" s="212"/>
      <c r="D222" s="270"/>
      <c r="E222" s="208"/>
      <c r="F222" s="208"/>
      <c r="G222" s="208"/>
      <c r="H222" s="209"/>
      <c r="I222" s="210"/>
      <c r="J222" s="210"/>
      <c r="K222" s="260"/>
      <c r="L222" s="260"/>
      <c r="M222" s="260"/>
      <c r="N222" s="260"/>
      <c r="O222" s="260"/>
      <c r="P222" s="211"/>
      <c r="Q222" s="261"/>
      <c r="R222" s="208" t="str">
        <f ca="1">IF(ISERROR($V222),"",OFFSET('Smelter Look-up'!$C$4,$V222-4,0)&amp;"")</f>
        <v/>
      </c>
      <c r="S222" s="215" t="str">
        <f t="shared" ca="1" si="30"/>
        <v/>
      </c>
      <c r="T222" s="215" t="str">
        <f ca="1">IF(B222="","",IF(ISERROR(MATCH($J222,SorP!$B$1:$B$6230,0)),"",INDIRECT("'SorP'!$A$"&amp;MATCH($J222,SorP!$B$1:$B$6230,0))))</f>
        <v/>
      </c>
      <c r="U222" s="231"/>
      <c r="V222" s="262" t="e">
        <f>IF(C222="",NA(),IF(OR(C222="Smelter not listed",C222="Smelter not yet identified"),MATCH($B222&amp;$D222,'Smelter Look-up'!$J:$J,0),MATCH($B222&amp;$C222,'Smelter Look-up'!$J:$J,0)))</f>
        <v>#N/A</v>
      </c>
      <c r="W222" s="263"/>
      <c r="X222" s="263">
        <f t="shared" si="31"/>
        <v>0</v>
      </c>
      <c r="Y222" s="263"/>
      <c r="Z222" s="263"/>
      <c r="AB222" s="265" t="str">
        <f t="shared" si="32"/>
        <v/>
      </c>
    </row>
    <row r="223" spans="1:28" s="264" customFormat="1" ht="20.399999999999999">
      <c r="A223" s="207"/>
      <c r="B223" s="208"/>
      <c r="C223" s="212"/>
      <c r="D223" s="270"/>
      <c r="E223" s="208"/>
      <c r="F223" s="208"/>
      <c r="G223" s="208"/>
      <c r="H223" s="209"/>
      <c r="I223" s="210"/>
      <c r="J223" s="210"/>
      <c r="K223" s="260"/>
      <c r="L223" s="260"/>
      <c r="M223" s="260"/>
      <c r="N223" s="260"/>
      <c r="O223" s="260"/>
      <c r="P223" s="211"/>
      <c r="Q223" s="261"/>
      <c r="R223" s="208" t="str">
        <f ca="1">IF(ISERROR($V223),"",OFFSET('Smelter Look-up'!$C$4,$V223-4,0)&amp;"")</f>
        <v/>
      </c>
      <c r="S223" s="215" t="str">
        <f t="shared" ca="1" si="30"/>
        <v/>
      </c>
      <c r="T223" s="215" t="str">
        <f ca="1">IF(B223="","",IF(ISERROR(MATCH($J223,SorP!$B$1:$B$6230,0)),"",INDIRECT("'SorP'!$A$"&amp;MATCH($J223,SorP!$B$1:$B$6230,0))))</f>
        <v/>
      </c>
      <c r="U223" s="231"/>
      <c r="V223" s="262" t="e">
        <f>IF(C223="",NA(),IF(OR(C223="Smelter not listed",C223="Smelter not yet identified"),MATCH($B223&amp;$D223,'Smelter Look-up'!$J:$J,0),MATCH($B223&amp;$C223,'Smelter Look-up'!$J:$J,0)))</f>
        <v>#N/A</v>
      </c>
      <c r="W223" s="263"/>
      <c r="X223" s="263">
        <f t="shared" si="31"/>
        <v>0</v>
      </c>
      <c r="Y223" s="263"/>
      <c r="Z223" s="263"/>
      <c r="AB223" s="265" t="str">
        <f t="shared" si="32"/>
        <v/>
      </c>
    </row>
    <row r="224" spans="1:28" s="264" customFormat="1" ht="20.399999999999999">
      <c r="A224" s="207"/>
      <c r="B224" s="208"/>
      <c r="C224" s="212"/>
      <c r="D224" s="270"/>
      <c r="E224" s="208"/>
      <c r="F224" s="208"/>
      <c r="G224" s="208"/>
      <c r="H224" s="209"/>
      <c r="I224" s="210"/>
      <c r="J224" s="210"/>
      <c r="K224" s="260"/>
      <c r="L224" s="260"/>
      <c r="M224" s="260"/>
      <c r="N224" s="260"/>
      <c r="O224" s="260"/>
      <c r="P224" s="211"/>
      <c r="Q224" s="261"/>
      <c r="R224" s="208" t="str">
        <f ca="1">IF(ISERROR($V224),"",OFFSET('Smelter Look-up'!$C$4,$V224-4,0)&amp;"")</f>
        <v/>
      </c>
      <c r="S224" s="215" t="str">
        <f t="shared" ca="1" si="30"/>
        <v/>
      </c>
      <c r="T224" s="215" t="str">
        <f ca="1">IF(B224="","",IF(ISERROR(MATCH($J224,SorP!$B$1:$B$6230,0)),"",INDIRECT("'SorP'!$A$"&amp;MATCH($J224,SorP!$B$1:$B$6230,0))))</f>
        <v/>
      </c>
      <c r="U224" s="231"/>
      <c r="V224" s="262" t="e">
        <f>IF(C224="",NA(),IF(OR(C224="Smelter not listed",C224="Smelter not yet identified"),MATCH($B224&amp;$D224,'Smelter Look-up'!$J:$J,0),MATCH($B224&amp;$C224,'Smelter Look-up'!$J:$J,0)))</f>
        <v>#N/A</v>
      </c>
      <c r="W224" s="263"/>
      <c r="X224" s="263">
        <f t="shared" si="31"/>
        <v>0</v>
      </c>
      <c r="Y224" s="263"/>
      <c r="Z224" s="263"/>
      <c r="AB224" s="265" t="str">
        <f t="shared" si="32"/>
        <v/>
      </c>
    </row>
    <row r="225" spans="1:28" s="264" customFormat="1" ht="20.399999999999999">
      <c r="A225" s="207"/>
      <c r="B225" s="208"/>
      <c r="C225" s="212"/>
      <c r="D225" s="270"/>
      <c r="E225" s="208"/>
      <c r="F225" s="208"/>
      <c r="G225" s="208"/>
      <c r="H225" s="209"/>
      <c r="I225" s="210"/>
      <c r="J225" s="210"/>
      <c r="K225" s="260"/>
      <c r="L225" s="260"/>
      <c r="M225" s="260"/>
      <c r="N225" s="260"/>
      <c r="O225" s="260"/>
      <c r="P225" s="211"/>
      <c r="Q225" s="261"/>
      <c r="R225" s="208" t="str">
        <f ca="1">IF(ISERROR($V225),"",OFFSET('Smelter Look-up'!$C$4,$V225-4,0)&amp;"")</f>
        <v/>
      </c>
      <c r="S225" s="215" t="str">
        <f t="shared" ca="1" si="30"/>
        <v/>
      </c>
      <c r="T225" s="215" t="str">
        <f ca="1">IF(B225="","",IF(ISERROR(MATCH($J225,SorP!$B$1:$B$6230,0)),"",INDIRECT("'SorP'!$A$"&amp;MATCH($J225,SorP!$B$1:$B$6230,0))))</f>
        <v/>
      </c>
      <c r="U225" s="231"/>
      <c r="V225" s="262" t="e">
        <f>IF(C225="",NA(),IF(OR(C225="Smelter not listed",C225="Smelter not yet identified"),MATCH($B225&amp;$D225,'Smelter Look-up'!$J:$J,0),MATCH($B225&amp;$C225,'Smelter Look-up'!$J:$J,0)))</f>
        <v>#N/A</v>
      </c>
      <c r="W225" s="263"/>
      <c r="X225" s="263">
        <f t="shared" si="31"/>
        <v>0</v>
      </c>
      <c r="Y225" s="263"/>
      <c r="Z225" s="263"/>
      <c r="AB225" s="265" t="str">
        <f t="shared" si="32"/>
        <v/>
      </c>
    </row>
    <row r="226" spans="1:28" s="264" customFormat="1" ht="20.399999999999999">
      <c r="A226" s="207"/>
      <c r="B226" s="208"/>
      <c r="C226" s="212"/>
      <c r="D226" s="270"/>
      <c r="E226" s="208"/>
      <c r="F226" s="208"/>
      <c r="G226" s="208"/>
      <c r="H226" s="209"/>
      <c r="I226" s="210"/>
      <c r="J226" s="210"/>
      <c r="K226" s="260"/>
      <c r="L226" s="260"/>
      <c r="M226" s="260"/>
      <c r="N226" s="260"/>
      <c r="O226" s="260"/>
      <c r="P226" s="211"/>
      <c r="Q226" s="261"/>
      <c r="R226" s="208" t="str">
        <f ca="1">IF(ISERROR($V226),"",OFFSET('Smelter Look-up'!$C$4,$V226-4,0)&amp;"")</f>
        <v/>
      </c>
      <c r="S226" s="215" t="str">
        <f t="shared" ca="1" si="30"/>
        <v/>
      </c>
      <c r="T226" s="215" t="str">
        <f ca="1">IF(B226="","",IF(ISERROR(MATCH($J226,SorP!$B$1:$B$6230,0)),"",INDIRECT("'SorP'!$A$"&amp;MATCH($J226,SorP!$B$1:$B$6230,0))))</f>
        <v/>
      </c>
      <c r="U226" s="231"/>
      <c r="V226" s="262" t="e">
        <f>IF(C226="",NA(),IF(OR(C226="Smelter not listed",C226="Smelter not yet identified"),MATCH($B226&amp;$D226,'Smelter Look-up'!$J:$J,0),MATCH($B226&amp;$C226,'Smelter Look-up'!$J:$J,0)))</f>
        <v>#N/A</v>
      </c>
      <c r="W226" s="263"/>
      <c r="X226" s="263">
        <f t="shared" si="31"/>
        <v>0</v>
      </c>
      <c r="Y226" s="263"/>
      <c r="Z226" s="263"/>
      <c r="AB226" s="265" t="str">
        <f t="shared" si="32"/>
        <v/>
      </c>
    </row>
    <row r="227" spans="1:28" s="264" customFormat="1" ht="20.399999999999999">
      <c r="A227" s="207"/>
      <c r="B227" s="208"/>
      <c r="C227" s="212"/>
      <c r="D227" s="270"/>
      <c r="E227" s="208"/>
      <c r="F227" s="208"/>
      <c r="G227" s="208"/>
      <c r="H227" s="209"/>
      <c r="I227" s="210"/>
      <c r="J227" s="210"/>
      <c r="K227" s="260"/>
      <c r="L227" s="260"/>
      <c r="M227" s="260"/>
      <c r="N227" s="260"/>
      <c r="O227" s="260"/>
      <c r="P227" s="211"/>
      <c r="Q227" s="261"/>
      <c r="R227" s="208" t="str">
        <f ca="1">IF(ISERROR($V227),"",OFFSET('Smelter Look-up'!$C$4,$V227-4,0)&amp;"")</f>
        <v/>
      </c>
      <c r="S227" s="215" t="str">
        <f t="shared" ca="1" si="30"/>
        <v/>
      </c>
      <c r="T227" s="215" t="str">
        <f ca="1">IF(B227="","",IF(ISERROR(MATCH($J227,SorP!$B$1:$B$6230,0)),"",INDIRECT("'SorP'!$A$"&amp;MATCH($J227,SorP!$B$1:$B$6230,0))))</f>
        <v/>
      </c>
      <c r="U227" s="231"/>
      <c r="V227" s="262" t="e">
        <f>IF(C227="",NA(),IF(OR(C227="Smelter not listed",C227="Smelter not yet identified"),MATCH($B227&amp;$D227,'Smelter Look-up'!$J:$J,0),MATCH($B227&amp;$C227,'Smelter Look-up'!$J:$J,0)))</f>
        <v>#N/A</v>
      </c>
      <c r="W227" s="263"/>
      <c r="X227" s="263">
        <f t="shared" si="31"/>
        <v>0</v>
      </c>
      <c r="Y227" s="263"/>
      <c r="Z227" s="263"/>
      <c r="AB227" s="265" t="str">
        <f t="shared" si="32"/>
        <v/>
      </c>
    </row>
    <row r="228" spans="1:28" s="264" customFormat="1" ht="20.399999999999999">
      <c r="A228" s="207"/>
      <c r="B228" s="208"/>
      <c r="C228" s="212"/>
      <c r="D228" s="270"/>
      <c r="E228" s="208"/>
      <c r="F228" s="208"/>
      <c r="G228" s="208"/>
      <c r="H228" s="209"/>
      <c r="I228" s="210"/>
      <c r="J228" s="210"/>
      <c r="K228" s="260"/>
      <c r="L228" s="260"/>
      <c r="M228" s="260"/>
      <c r="N228" s="260"/>
      <c r="O228" s="260"/>
      <c r="P228" s="211"/>
      <c r="Q228" s="261"/>
      <c r="R228" s="208" t="str">
        <f ca="1">IF(ISERROR($V228),"",OFFSET('Smelter Look-up'!$C$4,$V228-4,0)&amp;"")</f>
        <v/>
      </c>
      <c r="S228" s="215" t="str">
        <f t="shared" ca="1" si="30"/>
        <v/>
      </c>
      <c r="T228" s="215" t="str">
        <f ca="1">IF(B228="","",IF(ISERROR(MATCH($J228,SorP!$B$1:$B$6230,0)),"",INDIRECT("'SorP'!$A$"&amp;MATCH($J228,SorP!$B$1:$B$6230,0))))</f>
        <v/>
      </c>
      <c r="U228" s="231"/>
      <c r="V228" s="262" t="e">
        <f>IF(C228="",NA(),IF(OR(C228="Smelter not listed",C228="Smelter not yet identified"),MATCH($B228&amp;$D228,'Smelter Look-up'!$J:$J,0),MATCH($B228&amp;$C228,'Smelter Look-up'!$J:$J,0)))</f>
        <v>#N/A</v>
      </c>
      <c r="W228" s="263"/>
      <c r="X228" s="263">
        <f t="shared" si="31"/>
        <v>0</v>
      </c>
      <c r="Y228" s="263"/>
      <c r="Z228" s="263"/>
      <c r="AB228" s="265" t="str">
        <f t="shared" si="32"/>
        <v/>
      </c>
    </row>
    <row r="229" spans="1:28" s="264" customFormat="1" ht="20.399999999999999">
      <c r="A229" s="207"/>
      <c r="B229" s="208"/>
      <c r="C229" s="212"/>
      <c r="D229" s="270"/>
      <c r="E229" s="208"/>
      <c r="F229" s="208"/>
      <c r="G229" s="208"/>
      <c r="H229" s="209"/>
      <c r="I229" s="210"/>
      <c r="J229" s="210"/>
      <c r="K229" s="260"/>
      <c r="L229" s="260"/>
      <c r="M229" s="260"/>
      <c r="N229" s="260"/>
      <c r="O229" s="260"/>
      <c r="P229" s="211"/>
      <c r="Q229" s="261"/>
      <c r="R229" s="208" t="str">
        <f ca="1">IF(ISERROR($V229),"",OFFSET('Smelter Look-up'!$C$4,$V229-4,0)&amp;"")</f>
        <v/>
      </c>
      <c r="S229" s="215" t="str">
        <f t="shared" ca="1" si="30"/>
        <v/>
      </c>
      <c r="T229" s="215" t="str">
        <f ca="1">IF(B229="","",IF(ISERROR(MATCH($J229,SorP!$B$1:$B$6230,0)),"",INDIRECT("'SorP'!$A$"&amp;MATCH($J229,SorP!$B$1:$B$6230,0))))</f>
        <v/>
      </c>
      <c r="U229" s="231"/>
      <c r="V229" s="262" t="e">
        <f>IF(C229="",NA(),IF(OR(C229="Smelter not listed",C229="Smelter not yet identified"),MATCH($B229&amp;$D229,'Smelter Look-up'!$J:$J,0),MATCH($B229&amp;$C229,'Smelter Look-up'!$J:$J,0)))</f>
        <v>#N/A</v>
      </c>
      <c r="W229" s="263"/>
      <c r="X229" s="263">
        <f t="shared" si="31"/>
        <v>0</v>
      </c>
      <c r="Y229" s="263"/>
      <c r="Z229" s="263"/>
      <c r="AB229" s="265" t="str">
        <f t="shared" si="32"/>
        <v/>
      </c>
    </row>
    <row r="230" spans="1:28" s="264" customFormat="1" ht="20.399999999999999">
      <c r="A230" s="207"/>
      <c r="B230" s="208"/>
      <c r="C230" s="212"/>
      <c r="D230" s="270"/>
      <c r="E230" s="208"/>
      <c r="F230" s="208"/>
      <c r="G230" s="208"/>
      <c r="H230" s="209"/>
      <c r="I230" s="210"/>
      <c r="J230" s="210"/>
      <c r="K230" s="260"/>
      <c r="L230" s="260"/>
      <c r="M230" s="260"/>
      <c r="N230" s="260"/>
      <c r="O230" s="260"/>
      <c r="P230" s="211"/>
      <c r="Q230" s="261"/>
      <c r="R230" s="208" t="str">
        <f ca="1">IF(ISERROR($V230),"",OFFSET('Smelter Look-up'!$C$4,$V230-4,0)&amp;"")</f>
        <v/>
      </c>
      <c r="S230" s="215" t="str">
        <f t="shared" ref="S230:S260" ca="1" si="33">IF(B230="","",IF(ISERROR(MATCH($E230,CL,0)),"Unknown",INDIRECT("'C'!$A$"&amp;MATCH($E230,CL,0)+1)))</f>
        <v/>
      </c>
      <c r="T230" s="215" t="str">
        <f ca="1">IF(B230="","",IF(ISERROR(MATCH($J230,SorP!$B$1:$B$6230,0)),"",INDIRECT("'SorP'!$A$"&amp;MATCH($J230,SorP!$B$1:$B$6230,0))))</f>
        <v/>
      </c>
      <c r="U230" s="231"/>
      <c r="V230" s="262" t="e">
        <f>IF(C230="",NA(),IF(OR(C230="Smelter not listed",C230="Smelter not yet identified"),MATCH($B230&amp;$D230,'Smelter Look-up'!$J:$J,0),MATCH($B230&amp;$C230,'Smelter Look-up'!$J:$J,0)))</f>
        <v>#N/A</v>
      </c>
      <c r="W230" s="263"/>
      <c r="X230" s="263">
        <f t="shared" ref="X230:X260" si="34">IF(AND(C230="Smelter not listed",OR(LEN(D230)=0,LEN(E230)=0)),1,0)</f>
        <v>0</v>
      </c>
      <c r="Y230" s="263"/>
      <c r="Z230" s="263"/>
      <c r="AB230" s="265" t="str">
        <f t="shared" ref="AB230:AB260" si="35">B230&amp;C230</f>
        <v/>
      </c>
    </row>
    <row r="231" spans="1:28" s="264" customFormat="1" ht="20.399999999999999">
      <c r="A231" s="207"/>
      <c r="B231" s="208"/>
      <c r="C231" s="212"/>
      <c r="D231" s="270"/>
      <c r="E231" s="208"/>
      <c r="F231" s="208"/>
      <c r="G231" s="208"/>
      <c r="H231" s="209"/>
      <c r="I231" s="210"/>
      <c r="J231" s="210"/>
      <c r="K231" s="260"/>
      <c r="L231" s="260"/>
      <c r="M231" s="260"/>
      <c r="N231" s="260"/>
      <c r="O231" s="260"/>
      <c r="P231" s="211"/>
      <c r="Q231" s="261"/>
      <c r="R231" s="208" t="str">
        <f ca="1">IF(ISERROR($V231),"",OFFSET('Smelter Look-up'!$C$4,$V231-4,0)&amp;"")</f>
        <v/>
      </c>
      <c r="S231" s="215" t="str">
        <f t="shared" ca="1" si="33"/>
        <v/>
      </c>
      <c r="T231" s="215" t="str">
        <f ca="1">IF(B231="","",IF(ISERROR(MATCH($J231,SorP!$B$1:$B$6230,0)),"",INDIRECT("'SorP'!$A$"&amp;MATCH($J231,SorP!$B$1:$B$6230,0))))</f>
        <v/>
      </c>
      <c r="U231" s="231"/>
      <c r="V231" s="262" t="e">
        <f>IF(C231="",NA(),IF(OR(C231="Smelter not listed",C231="Smelter not yet identified"),MATCH($B231&amp;$D231,'Smelter Look-up'!$J:$J,0),MATCH($B231&amp;$C231,'Smelter Look-up'!$J:$J,0)))</f>
        <v>#N/A</v>
      </c>
      <c r="W231" s="263"/>
      <c r="X231" s="263">
        <f t="shared" si="34"/>
        <v>0</v>
      </c>
      <c r="Y231" s="263"/>
      <c r="Z231" s="263"/>
      <c r="AB231" s="265" t="str">
        <f t="shared" si="35"/>
        <v/>
      </c>
    </row>
    <row r="232" spans="1:28" s="264" customFormat="1" ht="20.399999999999999">
      <c r="A232" s="207"/>
      <c r="B232" s="208"/>
      <c r="C232" s="212"/>
      <c r="D232" s="270"/>
      <c r="E232" s="208"/>
      <c r="F232" s="208"/>
      <c r="G232" s="208"/>
      <c r="H232" s="209"/>
      <c r="I232" s="210"/>
      <c r="J232" s="210"/>
      <c r="K232" s="260"/>
      <c r="L232" s="260"/>
      <c r="M232" s="260"/>
      <c r="N232" s="260"/>
      <c r="O232" s="260"/>
      <c r="P232" s="211"/>
      <c r="Q232" s="261"/>
      <c r="R232" s="208" t="str">
        <f ca="1">IF(ISERROR($V232),"",OFFSET('Smelter Look-up'!$C$4,$V232-4,0)&amp;"")</f>
        <v/>
      </c>
      <c r="S232" s="215" t="str">
        <f t="shared" ca="1" si="33"/>
        <v/>
      </c>
      <c r="T232" s="215" t="str">
        <f ca="1">IF(B232="","",IF(ISERROR(MATCH($J232,SorP!$B$1:$B$6230,0)),"",INDIRECT("'SorP'!$A$"&amp;MATCH($J232,SorP!$B$1:$B$6230,0))))</f>
        <v/>
      </c>
      <c r="U232" s="231"/>
      <c r="V232" s="262" t="e">
        <f>IF(C232="",NA(),IF(OR(C232="Smelter not listed",C232="Smelter not yet identified"),MATCH($B232&amp;$D232,'Smelter Look-up'!$J:$J,0),MATCH($B232&amp;$C232,'Smelter Look-up'!$J:$J,0)))</f>
        <v>#N/A</v>
      </c>
      <c r="W232" s="263"/>
      <c r="X232" s="263">
        <f t="shared" si="34"/>
        <v>0</v>
      </c>
      <c r="Y232" s="263"/>
      <c r="Z232" s="263"/>
      <c r="AB232" s="265" t="str">
        <f t="shared" si="35"/>
        <v/>
      </c>
    </row>
    <row r="233" spans="1:28" s="264" customFormat="1" ht="20.399999999999999">
      <c r="A233" s="207"/>
      <c r="B233" s="208"/>
      <c r="C233" s="212"/>
      <c r="D233" s="270"/>
      <c r="E233" s="208"/>
      <c r="F233" s="208"/>
      <c r="G233" s="208"/>
      <c r="H233" s="209"/>
      <c r="I233" s="210"/>
      <c r="J233" s="210"/>
      <c r="K233" s="260"/>
      <c r="L233" s="260"/>
      <c r="M233" s="260"/>
      <c r="N233" s="260"/>
      <c r="O233" s="260"/>
      <c r="P233" s="211"/>
      <c r="Q233" s="261"/>
      <c r="R233" s="208" t="str">
        <f ca="1">IF(ISERROR($V233),"",OFFSET('Smelter Look-up'!$C$4,$V233-4,0)&amp;"")</f>
        <v/>
      </c>
      <c r="S233" s="215" t="str">
        <f t="shared" ca="1" si="33"/>
        <v/>
      </c>
      <c r="T233" s="215" t="str">
        <f ca="1">IF(B233="","",IF(ISERROR(MATCH($J233,SorP!$B$1:$B$6230,0)),"",INDIRECT("'SorP'!$A$"&amp;MATCH($J233,SorP!$B$1:$B$6230,0))))</f>
        <v/>
      </c>
      <c r="U233" s="231"/>
      <c r="V233" s="262" t="e">
        <f>IF(C233="",NA(),IF(OR(C233="Smelter not listed",C233="Smelter not yet identified"),MATCH($B233&amp;$D233,'Smelter Look-up'!$J:$J,0),MATCH($B233&amp;$C233,'Smelter Look-up'!$J:$J,0)))</f>
        <v>#N/A</v>
      </c>
      <c r="W233" s="263"/>
      <c r="X233" s="263">
        <f t="shared" si="34"/>
        <v>0</v>
      </c>
      <c r="Y233" s="263"/>
      <c r="Z233" s="263"/>
      <c r="AB233" s="265" t="str">
        <f t="shared" si="35"/>
        <v/>
      </c>
    </row>
    <row r="234" spans="1:28" s="264" customFormat="1" ht="20.399999999999999">
      <c r="A234" s="207"/>
      <c r="B234" s="208"/>
      <c r="C234" s="212"/>
      <c r="D234" s="270"/>
      <c r="E234" s="208"/>
      <c r="F234" s="208"/>
      <c r="G234" s="208"/>
      <c r="H234" s="209"/>
      <c r="I234" s="210"/>
      <c r="J234" s="210"/>
      <c r="K234" s="260"/>
      <c r="L234" s="260"/>
      <c r="M234" s="260"/>
      <c r="N234" s="260"/>
      <c r="O234" s="260"/>
      <c r="P234" s="211"/>
      <c r="Q234" s="261"/>
      <c r="R234" s="208" t="str">
        <f ca="1">IF(ISERROR($V234),"",OFFSET('Smelter Look-up'!$C$4,$V234-4,0)&amp;"")</f>
        <v/>
      </c>
      <c r="S234" s="215" t="str">
        <f t="shared" ca="1" si="33"/>
        <v/>
      </c>
      <c r="T234" s="215" t="str">
        <f ca="1">IF(B234="","",IF(ISERROR(MATCH($J234,SorP!$B$1:$B$6230,0)),"",INDIRECT("'SorP'!$A$"&amp;MATCH($J234,SorP!$B$1:$B$6230,0))))</f>
        <v/>
      </c>
      <c r="U234" s="231"/>
      <c r="V234" s="262" t="e">
        <f>IF(C234="",NA(),IF(OR(C234="Smelter not listed",C234="Smelter not yet identified"),MATCH($B234&amp;$D234,'Smelter Look-up'!$J:$J,0),MATCH($B234&amp;$C234,'Smelter Look-up'!$J:$J,0)))</f>
        <v>#N/A</v>
      </c>
      <c r="W234" s="263"/>
      <c r="X234" s="263">
        <f t="shared" si="34"/>
        <v>0</v>
      </c>
      <c r="Y234" s="263"/>
      <c r="Z234" s="263"/>
      <c r="AB234" s="265" t="str">
        <f t="shared" si="35"/>
        <v/>
      </c>
    </row>
    <row r="235" spans="1:28" s="264" customFormat="1" ht="20.399999999999999">
      <c r="A235" s="207"/>
      <c r="B235" s="208"/>
      <c r="C235" s="212"/>
      <c r="D235" s="270"/>
      <c r="E235" s="208"/>
      <c r="F235" s="208"/>
      <c r="G235" s="208"/>
      <c r="H235" s="209"/>
      <c r="I235" s="210"/>
      <c r="J235" s="210"/>
      <c r="K235" s="260"/>
      <c r="L235" s="260"/>
      <c r="M235" s="260"/>
      <c r="N235" s="260"/>
      <c r="O235" s="260"/>
      <c r="P235" s="211"/>
      <c r="Q235" s="261"/>
      <c r="R235" s="208" t="str">
        <f ca="1">IF(ISERROR($V235),"",OFFSET('Smelter Look-up'!$C$4,$V235-4,0)&amp;"")</f>
        <v/>
      </c>
      <c r="S235" s="215" t="str">
        <f t="shared" ca="1" si="33"/>
        <v/>
      </c>
      <c r="T235" s="215" t="str">
        <f ca="1">IF(B235="","",IF(ISERROR(MATCH($J235,SorP!$B$1:$B$6230,0)),"",INDIRECT("'SorP'!$A$"&amp;MATCH($J235,SorP!$B$1:$B$6230,0))))</f>
        <v/>
      </c>
      <c r="U235" s="231"/>
      <c r="V235" s="262" t="e">
        <f>IF(C235="",NA(),IF(OR(C235="Smelter not listed",C235="Smelter not yet identified"),MATCH($B235&amp;$D235,'Smelter Look-up'!$J:$J,0),MATCH($B235&amp;$C235,'Smelter Look-up'!$J:$J,0)))</f>
        <v>#N/A</v>
      </c>
      <c r="W235" s="263"/>
      <c r="X235" s="263">
        <f t="shared" si="34"/>
        <v>0</v>
      </c>
      <c r="Y235" s="263"/>
      <c r="Z235" s="263"/>
      <c r="AB235" s="265" t="str">
        <f t="shared" si="35"/>
        <v/>
      </c>
    </row>
    <row r="236" spans="1:28" s="264" customFormat="1" ht="20.399999999999999">
      <c r="A236" s="207"/>
      <c r="B236" s="208"/>
      <c r="C236" s="212"/>
      <c r="D236" s="270"/>
      <c r="E236" s="208"/>
      <c r="F236" s="208"/>
      <c r="G236" s="208"/>
      <c r="H236" s="209"/>
      <c r="I236" s="210"/>
      <c r="J236" s="210"/>
      <c r="K236" s="260"/>
      <c r="L236" s="260"/>
      <c r="M236" s="260"/>
      <c r="N236" s="260"/>
      <c r="O236" s="260"/>
      <c r="P236" s="211"/>
      <c r="Q236" s="261"/>
      <c r="R236" s="208" t="str">
        <f ca="1">IF(ISERROR($V236),"",OFFSET('Smelter Look-up'!$C$4,$V236-4,0)&amp;"")</f>
        <v/>
      </c>
      <c r="S236" s="215" t="str">
        <f t="shared" ca="1" si="33"/>
        <v/>
      </c>
      <c r="T236" s="215" t="str">
        <f ca="1">IF(B236="","",IF(ISERROR(MATCH($J236,SorP!$B$1:$B$6230,0)),"",INDIRECT("'SorP'!$A$"&amp;MATCH($J236,SorP!$B$1:$B$6230,0))))</f>
        <v/>
      </c>
      <c r="U236" s="231"/>
      <c r="V236" s="262" t="e">
        <f>IF(C236="",NA(),IF(OR(C236="Smelter not listed",C236="Smelter not yet identified"),MATCH($B236&amp;$D236,'Smelter Look-up'!$J:$J,0),MATCH($B236&amp;$C236,'Smelter Look-up'!$J:$J,0)))</f>
        <v>#N/A</v>
      </c>
      <c r="W236" s="263"/>
      <c r="X236" s="263">
        <f t="shared" si="34"/>
        <v>0</v>
      </c>
      <c r="Y236" s="263"/>
      <c r="Z236" s="263"/>
      <c r="AB236" s="265" t="str">
        <f t="shared" si="35"/>
        <v/>
      </c>
    </row>
    <row r="237" spans="1:28" s="264" customFormat="1" ht="20.399999999999999">
      <c r="A237" s="207"/>
      <c r="B237" s="208"/>
      <c r="C237" s="212"/>
      <c r="D237" s="270"/>
      <c r="E237" s="208"/>
      <c r="F237" s="208"/>
      <c r="G237" s="208"/>
      <c r="H237" s="209"/>
      <c r="I237" s="210"/>
      <c r="J237" s="210"/>
      <c r="K237" s="260"/>
      <c r="L237" s="260"/>
      <c r="M237" s="260"/>
      <c r="N237" s="260"/>
      <c r="O237" s="260"/>
      <c r="P237" s="211"/>
      <c r="Q237" s="261"/>
      <c r="R237" s="208" t="str">
        <f ca="1">IF(ISERROR($V237),"",OFFSET('Smelter Look-up'!$C$4,$V237-4,0)&amp;"")</f>
        <v/>
      </c>
      <c r="S237" s="215" t="str">
        <f t="shared" ca="1" si="33"/>
        <v/>
      </c>
      <c r="T237" s="215" t="str">
        <f ca="1">IF(B237="","",IF(ISERROR(MATCH($J237,SorP!$B$1:$B$6230,0)),"",INDIRECT("'SorP'!$A$"&amp;MATCH($J237,SorP!$B$1:$B$6230,0))))</f>
        <v/>
      </c>
      <c r="U237" s="231"/>
      <c r="V237" s="262" t="e">
        <f>IF(C237="",NA(),IF(OR(C237="Smelter not listed",C237="Smelter not yet identified"),MATCH($B237&amp;$D237,'Smelter Look-up'!$J:$J,0),MATCH($B237&amp;$C237,'Smelter Look-up'!$J:$J,0)))</f>
        <v>#N/A</v>
      </c>
      <c r="W237" s="263"/>
      <c r="X237" s="263">
        <f t="shared" si="34"/>
        <v>0</v>
      </c>
      <c r="Y237" s="263"/>
      <c r="Z237" s="263"/>
      <c r="AB237" s="265" t="str">
        <f t="shared" si="35"/>
        <v/>
      </c>
    </row>
    <row r="238" spans="1:28" s="264" customFormat="1" ht="20.399999999999999">
      <c r="A238" s="207"/>
      <c r="B238" s="208"/>
      <c r="C238" s="212"/>
      <c r="D238" s="270"/>
      <c r="E238" s="208"/>
      <c r="F238" s="208"/>
      <c r="G238" s="208"/>
      <c r="H238" s="209"/>
      <c r="I238" s="210"/>
      <c r="J238" s="210"/>
      <c r="K238" s="260"/>
      <c r="L238" s="260"/>
      <c r="M238" s="260"/>
      <c r="N238" s="260"/>
      <c r="O238" s="260"/>
      <c r="P238" s="211"/>
      <c r="Q238" s="261"/>
      <c r="R238" s="208" t="str">
        <f ca="1">IF(ISERROR($V238),"",OFFSET('Smelter Look-up'!$C$4,$V238-4,0)&amp;"")</f>
        <v/>
      </c>
      <c r="S238" s="215" t="str">
        <f t="shared" ca="1" si="33"/>
        <v/>
      </c>
      <c r="T238" s="215" t="str">
        <f ca="1">IF(B238="","",IF(ISERROR(MATCH($J238,SorP!$B$1:$B$6230,0)),"",INDIRECT("'SorP'!$A$"&amp;MATCH($J238,SorP!$B$1:$B$6230,0))))</f>
        <v/>
      </c>
      <c r="U238" s="231"/>
      <c r="V238" s="262" t="e">
        <f>IF(C238="",NA(),IF(OR(C238="Smelter not listed",C238="Smelter not yet identified"),MATCH($B238&amp;$D238,'Smelter Look-up'!$J:$J,0),MATCH($B238&amp;$C238,'Smelter Look-up'!$J:$J,0)))</f>
        <v>#N/A</v>
      </c>
      <c r="W238" s="263"/>
      <c r="X238" s="263">
        <f t="shared" si="34"/>
        <v>0</v>
      </c>
      <c r="Y238" s="263"/>
      <c r="Z238" s="263"/>
      <c r="AB238" s="265" t="str">
        <f t="shared" si="35"/>
        <v/>
      </c>
    </row>
    <row r="239" spans="1:28" s="264" customFormat="1" ht="20.399999999999999">
      <c r="A239" s="207"/>
      <c r="B239" s="208"/>
      <c r="C239" s="212"/>
      <c r="D239" s="270"/>
      <c r="E239" s="208"/>
      <c r="F239" s="208"/>
      <c r="G239" s="208"/>
      <c r="H239" s="209"/>
      <c r="I239" s="210"/>
      <c r="J239" s="210"/>
      <c r="K239" s="260"/>
      <c r="L239" s="260"/>
      <c r="M239" s="260"/>
      <c r="N239" s="260"/>
      <c r="O239" s="260"/>
      <c r="P239" s="211"/>
      <c r="Q239" s="261"/>
      <c r="R239" s="208" t="str">
        <f ca="1">IF(ISERROR($V239),"",OFFSET('Smelter Look-up'!$C$4,$V239-4,0)&amp;"")</f>
        <v/>
      </c>
      <c r="S239" s="215" t="str">
        <f t="shared" ca="1" si="33"/>
        <v/>
      </c>
      <c r="T239" s="215" t="str">
        <f ca="1">IF(B239="","",IF(ISERROR(MATCH($J239,SorP!$B$1:$B$6230,0)),"",INDIRECT("'SorP'!$A$"&amp;MATCH($J239,SorP!$B$1:$B$6230,0))))</f>
        <v/>
      </c>
      <c r="U239" s="231"/>
      <c r="V239" s="262" t="e">
        <f>IF(C239="",NA(),IF(OR(C239="Smelter not listed",C239="Smelter not yet identified"),MATCH($B239&amp;$D239,'Smelter Look-up'!$J:$J,0),MATCH($B239&amp;$C239,'Smelter Look-up'!$J:$J,0)))</f>
        <v>#N/A</v>
      </c>
      <c r="W239" s="263"/>
      <c r="X239" s="263">
        <f t="shared" si="34"/>
        <v>0</v>
      </c>
      <c r="Y239" s="263"/>
      <c r="Z239" s="263"/>
      <c r="AB239" s="265" t="str">
        <f t="shared" si="35"/>
        <v/>
      </c>
    </row>
    <row r="240" spans="1:28" s="264" customFormat="1" ht="20.399999999999999">
      <c r="A240" s="207"/>
      <c r="B240" s="208"/>
      <c r="C240" s="212"/>
      <c r="D240" s="270"/>
      <c r="E240" s="208"/>
      <c r="F240" s="208"/>
      <c r="G240" s="208"/>
      <c r="H240" s="209"/>
      <c r="I240" s="210"/>
      <c r="J240" s="210"/>
      <c r="K240" s="260"/>
      <c r="L240" s="260"/>
      <c r="M240" s="260"/>
      <c r="N240" s="260"/>
      <c r="O240" s="260"/>
      <c r="P240" s="211"/>
      <c r="Q240" s="261"/>
      <c r="R240" s="208" t="str">
        <f ca="1">IF(ISERROR($V240),"",OFFSET('Smelter Look-up'!$C$4,$V240-4,0)&amp;"")</f>
        <v/>
      </c>
      <c r="S240" s="215" t="str">
        <f t="shared" ca="1" si="33"/>
        <v/>
      </c>
      <c r="T240" s="215" t="str">
        <f ca="1">IF(B240="","",IF(ISERROR(MATCH($J240,SorP!$B$1:$B$6230,0)),"",INDIRECT("'SorP'!$A$"&amp;MATCH($J240,SorP!$B$1:$B$6230,0))))</f>
        <v/>
      </c>
      <c r="U240" s="231"/>
      <c r="V240" s="262" t="e">
        <f>IF(C240="",NA(),IF(OR(C240="Smelter not listed",C240="Smelter not yet identified"),MATCH($B240&amp;$D240,'Smelter Look-up'!$J:$J,0),MATCH($B240&amp;$C240,'Smelter Look-up'!$J:$J,0)))</f>
        <v>#N/A</v>
      </c>
      <c r="W240" s="263"/>
      <c r="X240" s="263">
        <f t="shared" si="34"/>
        <v>0</v>
      </c>
      <c r="Y240" s="263"/>
      <c r="Z240" s="263"/>
      <c r="AB240" s="265" t="str">
        <f t="shared" si="35"/>
        <v/>
      </c>
    </row>
    <row r="241" spans="1:28" s="264" customFormat="1" ht="20.399999999999999">
      <c r="A241" s="207"/>
      <c r="B241" s="208"/>
      <c r="C241" s="212"/>
      <c r="D241" s="270"/>
      <c r="E241" s="208"/>
      <c r="F241" s="208"/>
      <c r="G241" s="208"/>
      <c r="H241" s="209"/>
      <c r="I241" s="210"/>
      <c r="J241" s="210"/>
      <c r="K241" s="260"/>
      <c r="L241" s="260"/>
      <c r="M241" s="260"/>
      <c r="N241" s="260"/>
      <c r="O241" s="260"/>
      <c r="P241" s="211"/>
      <c r="Q241" s="261"/>
      <c r="R241" s="208" t="str">
        <f ca="1">IF(ISERROR($V241),"",OFFSET('Smelter Look-up'!$C$4,$V241-4,0)&amp;"")</f>
        <v/>
      </c>
      <c r="S241" s="215" t="str">
        <f t="shared" ca="1" si="33"/>
        <v/>
      </c>
      <c r="T241" s="215" t="str">
        <f ca="1">IF(B241="","",IF(ISERROR(MATCH($J241,SorP!$B$1:$B$6230,0)),"",INDIRECT("'SorP'!$A$"&amp;MATCH($J241,SorP!$B$1:$B$6230,0))))</f>
        <v/>
      </c>
      <c r="U241" s="231"/>
      <c r="V241" s="262" t="e">
        <f>IF(C241="",NA(),IF(OR(C241="Smelter not listed",C241="Smelter not yet identified"),MATCH($B241&amp;$D241,'Smelter Look-up'!$J:$J,0),MATCH($B241&amp;$C241,'Smelter Look-up'!$J:$J,0)))</f>
        <v>#N/A</v>
      </c>
      <c r="W241" s="263"/>
      <c r="X241" s="263">
        <f t="shared" si="34"/>
        <v>0</v>
      </c>
      <c r="Y241" s="263"/>
      <c r="Z241" s="263"/>
      <c r="AB241" s="265" t="str">
        <f t="shared" si="35"/>
        <v/>
      </c>
    </row>
    <row r="242" spans="1:28" s="264" customFormat="1" ht="20.399999999999999">
      <c r="A242" s="207"/>
      <c r="B242" s="208"/>
      <c r="C242" s="212"/>
      <c r="D242" s="270"/>
      <c r="E242" s="208"/>
      <c r="F242" s="208"/>
      <c r="G242" s="208"/>
      <c r="H242" s="209"/>
      <c r="I242" s="210"/>
      <c r="J242" s="210"/>
      <c r="K242" s="260"/>
      <c r="L242" s="260"/>
      <c r="M242" s="260"/>
      <c r="N242" s="260"/>
      <c r="O242" s="260"/>
      <c r="P242" s="211"/>
      <c r="Q242" s="261"/>
      <c r="R242" s="208" t="str">
        <f ca="1">IF(ISERROR($V242),"",OFFSET('Smelter Look-up'!$C$4,$V242-4,0)&amp;"")</f>
        <v/>
      </c>
      <c r="S242" s="215" t="str">
        <f t="shared" ca="1" si="33"/>
        <v/>
      </c>
      <c r="T242" s="215" t="str">
        <f ca="1">IF(B242="","",IF(ISERROR(MATCH($J242,SorP!$B$1:$B$6230,0)),"",INDIRECT("'SorP'!$A$"&amp;MATCH($J242,SorP!$B$1:$B$6230,0))))</f>
        <v/>
      </c>
      <c r="U242" s="231"/>
      <c r="V242" s="262" t="e">
        <f>IF(C242="",NA(),IF(OR(C242="Smelter not listed",C242="Smelter not yet identified"),MATCH($B242&amp;$D242,'Smelter Look-up'!$J:$J,0),MATCH($B242&amp;$C242,'Smelter Look-up'!$J:$J,0)))</f>
        <v>#N/A</v>
      </c>
      <c r="W242" s="263"/>
      <c r="X242" s="263">
        <f t="shared" si="34"/>
        <v>0</v>
      </c>
      <c r="Y242" s="263"/>
      <c r="Z242" s="263"/>
      <c r="AB242" s="265" t="str">
        <f t="shared" si="35"/>
        <v/>
      </c>
    </row>
    <row r="243" spans="1:28" s="264" customFormat="1" ht="20.399999999999999">
      <c r="A243" s="207"/>
      <c r="B243" s="208"/>
      <c r="C243" s="212"/>
      <c r="D243" s="270"/>
      <c r="E243" s="208"/>
      <c r="F243" s="208"/>
      <c r="G243" s="208"/>
      <c r="H243" s="209"/>
      <c r="I243" s="210"/>
      <c r="J243" s="210"/>
      <c r="K243" s="260"/>
      <c r="L243" s="260"/>
      <c r="M243" s="260"/>
      <c r="N243" s="260"/>
      <c r="O243" s="260"/>
      <c r="P243" s="211"/>
      <c r="Q243" s="261"/>
      <c r="R243" s="208" t="str">
        <f ca="1">IF(ISERROR($V243),"",OFFSET('Smelter Look-up'!$C$4,$V243-4,0)&amp;"")</f>
        <v/>
      </c>
      <c r="S243" s="215" t="str">
        <f t="shared" ca="1" si="33"/>
        <v/>
      </c>
      <c r="T243" s="215" t="str">
        <f ca="1">IF(B243="","",IF(ISERROR(MATCH($J243,SorP!$B$1:$B$6230,0)),"",INDIRECT("'SorP'!$A$"&amp;MATCH($J243,SorP!$B$1:$B$6230,0))))</f>
        <v/>
      </c>
      <c r="U243" s="231"/>
      <c r="V243" s="262" t="e">
        <f>IF(C243="",NA(),IF(OR(C243="Smelter not listed",C243="Smelter not yet identified"),MATCH($B243&amp;$D243,'Smelter Look-up'!$J:$J,0),MATCH($B243&amp;$C243,'Smelter Look-up'!$J:$J,0)))</f>
        <v>#N/A</v>
      </c>
      <c r="W243" s="263"/>
      <c r="X243" s="263">
        <f t="shared" si="34"/>
        <v>0</v>
      </c>
      <c r="Y243" s="263"/>
      <c r="Z243" s="263"/>
      <c r="AB243" s="265" t="str">
        <f t="shared" si="35"/>
        <v/>
      </c>
    </row>
    <row r="244" spans="1:28" s="264" customFormat="1" ht="20.399999999999999">
      <c r="A244" s="207"/>
      <c r="B244" s="208"/>
      <c r="C244" s="212"/>
      <c r="D244" s="270"/>
      <c r="E244" s="208"/>
      <c r="F244" s="208"/>
      <c r="G244" s="208"/>
      <c r="H244" s="209"/>
      <c r="I244" s="210"/>
      <c r="J244" s="210"/>
      <c r="K244" s="260"/>
      <c r="L244" s="260"/>
      <c r="M244" s="260"/>
      <c r="N244" s="260"/>
      <c r="O244" s="260"/>
      <c r="P244" s="211"/>
      <c r="Q244" s="261"/>
      <c r="R244" s="208" t="str">
        <f ca="1">IF(ISERROR($V244),"",OFFSET('Smelter Look-up'!$C$4,$V244-4,0)&amp;"")</f>
        <v/>
      </c>
      <c r="S244" s="215" t="str">
        <f t="shared" ca="1" si="33"/>
        <v/>
      </c>
      <c r="T244" s="215" t="str">
        <f ca="1">IF(B244="","",IF(ISERROR(MATCH($J244,SorP!$B$1:$B$6230,0)),"",INDIRECT("'SorP'!$A$"&amp;MATCH($J244,SorP!$B$1:$B$6230,0))))</f>
        <v/>
      </c>
      <c r="U244" s="231"/>
      <c r="V244" s="262" t="e">
        <f>IF(C244="",NA(),IF(OR(C244="Smelter not listed",C244="Smelter not yet identified"),MATCH($B244&amp;$D244,'Smelter Look-up'!$J:$J,0),MATCH($B244&amp;$C244,'Smelter Look-up'!$J:$J,0)))</f>
        <v>#N/A</v>
      </c>
      <c r="W244" s="263"/>
      <c r="X244" s="263">
        <f t="shared" si="34"/>
        <v>0</v>
      </c>
      <c r="Y244" s="263"/>
      <c r="Z244" s="263"/>
      <c r="AB244" s="265" t="str">
        <f t="shared" si="35"/>
        <v/>
      </c>
    </row>
    <row r="245" spans="1:28" s="264" customFormat="1" ht="20.399999999999999">
      <c r="A245" s="207"/>
      <c r="B245" s="208"/>
      <c r="C245" s="212"/>
      <c r="D245" s="270"/>
      <c r="E245" s="208"/>
      <c r="F245" s="208"/>
      <c r="G245" s="208"/>
      <c r="H245" s="209"/>
      <c r="I245" s="210"/>
      <c r="J245" s="210"/>
      <c r="K245" s="260"/>
      <c r="L245" s="260"/>
      <c r="M245" s="260"/>
      <c r="N245" s="260"/>
      <c r="O245" s="260"/>
      <c r="P245" s="211"/>
      <c r="Q245" s="261"/>
      <c r="R245" s="208" t="str">
        <f ca="1">IF(ISERROR($V245),"",OFFSET('Smelter Look-up'!$C$4,$V245-4,0)&amp;"")</f>
        <v/>
      </c>
      <c r="S245" s="215" t="str">
        <f t="shared" ca="1" si="33"/>
        <v/>
      </c>
      <c r="T245" s="215" t="str">
        <f ca="1">IF(B245="","",IF(ISERROR(MATCH($J245,SorP!$B$1:$B$6230,0)),"",INDIRECT("'SorP'!$A$"&amp;MATCH($J245,SorP!$B$1:$B$6230,0))))</f>
        <v/>
      </c>
      <c r="U245" s="231"/>
      <c r="V245" s="262" t="e">
        <f>IF(C245="",NA(),IF(OR(C245="Smelter not listed",C245="Smelter not yet identified"),MATCH($B245&amp;$D245,'Smelter Look-up'!$J:$J,0),MATCH($B245&amp;$C245,'Smelter Look-up'!$J:$J,0)))</f>
        <v>#N/A</v>
      </c>
      <c r="W245" s="263"/>
      <c r="X245" s="263">
        <f t="shared" si="34"/>
        <v>0</v>
      </c>
      <c r="Y245" s="263"/>
      <c r="Z245" s="263"/>
      <c r="AB245" s="265" t="str">
        <f t="shared" si="35"/>
        <v/>
      </c>
    </row>
    <row r="246" spans="1:28" s="264" customFormat="1" ht="20.399999999999999">
      <c r="A246" s="207"/>
      <c r="B246" s="208"/>
      <c r="C246" s="212"/>
      <c r="D246" s="270"/>
      <c r="E246" s="208"/>
      <c r="F246" s="208"/>
      <c r="G246" s="208"/>
      <c r="H246" s="209"/>
      <c r="I246" s="210"/>
      <c r="J246" s="210"/>
      <c r="K246" s="260"/>
      <c r="L246" s="260"/>
      <c r="M246" s="260"/>
      <c r="N246" s="260"/>
      <c r="O246" s="260"/>
      <c r="P246" s="211"/>
      <c r="Q246" s="261"/>
      <c r="R246" s="208" t="str">
        <f ca="1">IF(ISERROR($V246),"",OFFSET('Smelter Look-up'!$C$4,$V246-4,0)&amp;"")</f>
        <v/>
      </c>
      <c r="S246" s="215" t="str">
        <f t="shared" ca="1" si="33"/>
        <v/>
      </c>
      <c r="T246" s="215" t="str">
        <f ca="1">IF(B246="","",IF(ISERROR(MATCH($J246,SorP!$B$1:$B$6230,0)),"",INDIRECT("'SorP'!$A$"&amp;MATCH($J246,SorP!$B$1:$B$6230,0))))</f>
        <v/>
      </c>
      <c r="U246" s="231"/>
      <c r="V246" s="262" t="e">
        <f>IF(C246="",NA(),IF(OR(C246="Smelter not listed",C246="Smelter not yet identified"),MATCH($B246&amp;$D246,'Smelter Look-up'!$J:$J,0),MATCH($B246&amp;$C246,'Smelter Look-up'!$J:$J,0)))</f>
        <v>#N/A</v>
      </c>
      <c r="W246" s="263"/>
      <c r="X246" s="263">
        <f t="shared" si="34"/>
        <v>0</v>
      </c>
      <c r="Y246" s="263"/>
      <c r="Z246" s="263"/>
      <c r="AB246" s="265" t="str">
        <f t="shared" si="35"/>
        <v/>
      </c>
    </row>
    <row r="247" spans="1:28" s="264" customFormat="1" ht="20.399999999999999">
      <c r="A247" s="207"/>
      <c r="B247" s="208"/>
      <c r="C247" s="212"/>
      <c r="D247" s="270"/>
      <c r="E247" s="208"/>
      <c r="F247" s="208"/>
      <c r="G247" s="208"/>
      <c r="H247" s="209"/>
      <c r="I247" s="210"/>
      <c r="J247" s="210"/>
      <c r="K247" s="260"/>
      <c r="L247" s="260"/>
      <c r="M247" s="260"/>
      <c r="N247" s="260"/>
      <c r="O247" s="260"/>
      <c r="P247" s="211"/>
      <c r="Q247" s="261"/>
      <c r="R247" s="208" t="str">
        <f ca="1">IF(ISERROR($V247),"",OFFSET('Smelter Look-up'!$C$4,$V247-4,0)&amp;"")</f>
        <v/>
      </c>
      <c r="S247" s="215" t="str">
        <f t="shared" ca="1" si="33"/>
        <v/>
      </c>
      <c r="T247" s="215" t="str">
        <f ca="1">IF(B247="","",IF(ISERROR(MATCH($J247,SorP!$B$1:$B$6230,0)),"",INDIRECT("'SorP'!$A$"&amp;MATCH($J247,SorP!$B$1:$B$6230,0))))</f>
        <v/>
      </c>
      <c r="U247" s="231"/>
      <c r="V247" s="262" t="e">
        <f>IF(C247="",NA(),IF(OR(C247="Smelter not listed",C247="Smelter not yet identified"),MATCH($B247&amp;$D247,'Smelter Look-up'!$J:$J,0),MATCH($B247&amp;$C247,'Smelter Look-up'!$J:$J,0)))</f>
        <v>#N/A</v>
      </c>
      <c r="W247" s="263"/>
      <c r="X247" s="263">
        <f t="shared" si="34"/>
        <v>0</v>
      </c>
      <c r="Y247" s="263"/>
      <c r="Z247" s="263"/>
      <c r="AB247" s="265" t="str">
        <f t="shared" si="35"/>
        <v/>
      </c>
    </row>
    <row r="248" spans="1:28" s="264" customFormat="1" ht="20.399999999999999">
      <c r="A248" s="207"/>
      <c r="B248" s="208"/>
      <c r="C248" s="212"/>
      <c r="D248" s="270"/>
      <c r="E248" s="208"/>
      <c r="F248" s="208"/>
      <c r="G248" s="208"/>
      <c r="H248" s="209"/>
      <c r="I248" s="210"/>
      <c r="J248" s="210"/>
      <c r="K248" s="260"/>
      <c r="L248" s="260"/>
      <c r="M248" s="260"/>
      <c r="N248" s="260"/>
      <c r="O248" s="260"/>
      <c r="P248" s="211"/>
      <c r="Q248" s="261"/>
      <c r="R248" s="208" t="str">
        <f ca="1">IF(ISERROR($V248),"",OFFSET('Smelter Look-up'!$C$4,$V248-4,0)&amp;"")</f>
        <v/>
      </c>
      <c r="S248" s="215" t="str">
        <f t="shared" ca="1" si="33"/>
        <v/>
      </c>
      <c r="T248" s="215" t="str">
        <f ca="1">IF(B248="","",IF(ISERROR(MATCH($J248,SorP!$B$1:$B$6230,0)),"",INDIRECT("'SorP'!$A$"&amp;MATCH($J248,SorP!$B$1:$B$6230,0))))</f>
        <v/>
      </c>
      <c r="U248" s="231"/>
      <c r="V248" s="262" t="e">
        <f>IF(C248="",NA(),IF(OR(C248="Smelter not listed",C248="Smelter not yet identified"),MATCH($B248&amp;$D248,'Smelter Look-up'!$J:$J,0),MATCH($B248&amp;$C248,'Smelter Look-up'!$J:$J,0)))</f>
        <v>#N/A</v>
      </c>
      <c r="W248" s="263"/>
      <c r="X248" s="263">
        <f t="shared" si="34"/>
        <v>0</v>
      </c>
      <c r="Y248" s="263"/>
      <c r="Z248" s="263"/>
      <c r="AB248" s="265" t="str">
        <f t="shared" si="35"/>
        <v/>
      </c>
    </row>
    <row r="249" spans="1:28" s="264" customFormat="1" ht="20.399999999999999">
      <c r="A249" s="207"/>
      <c r="B249" s="208"/>
      <c r="C249" s="212"/>
      <c r="D249" s="270"/>
      <c r="E249" s="208"/>
      <c r="F249" s="208"/>
      <c r="G249" s="208"/>
      <c r="H249" s="209"/>
      <c r="I249" s="210"/>
      <c r="J249" s="210"/>
      <c r="K249" s="260"/>
      <c r="L249" s="260"/>
      <c r="M249" s="260"/>
      <c r="N249" s="260"/>
      <c r="O249" s="260"/>
      <c r="P249" s="211"/>
      <c r="Q249" s="261"/>
      <c r="R249" s="208" t="str">
        <f ca="1">IF(ISERROR($V249),"",OFFSET('Smelter Look-up'!$C$4,$V249-4,0)&amp;"")</f>
        <v/>
      </c>
      <c r="S249" s="215" t="str">
        <f t="shared" ca="1" si="33"/>
        <v/>
      </c>
      <c r="T249" s="215" t="str">
        <f ca="1">IF(B249="","",IF(ISERROR(MATCH($J249,SorP!$B$1:$B$6230,0)),"",INDIRECT("'SorP'!$A$"&amp;MATCH($J249,SorP!$B$1:$B$6230,0))))</f>
        <v/>
      </c>
      <c r="U249" s="231"/>
      <c r="V249" s="262" t="e">
        <f>IF(C249="",NA(),IF(OR(C249="Smelter not listed",C249="Smelter not yet identified"),MATCH($B249&amp;$D249,'Smelter Look-up'!$J:$J,0),MATCH($B249&amp;$C249,'Smelter Look-up'!$J:$J,0)))</f>
        <v>#N/A</v>
      </c>
      <c r="W249" s="263"/>
      <c r="X249" s="263">
        <f t="shared" si="34"/>
        <v>0</v>
      </c>
      <c r="Y249" s="263"/>
      <c r="Z249" s="263"/>
      <c r="AB249" s="265" t="str">
        <f t="shared" si="35"/>
        <v/>
      </c>
    </row>
    <row r="250" spans="1:28" s="264" customFormat="1" ht="20.399999999999999">
      <c r="A250" s="207"/>
      <c r="B250" s="208"/>
      <c r="C250" s="212"/>
      <c r="D250" s="270"/>
      <c r="E250" s="208"/>
      <c r="F250" s="208"/>
      <c r="G250" s="208"/>
      <c r="H250" s="209"/>
      <c r="I250" s="210"/>
      <c r="J250" s="210"/>
      <c r="K250" s="260"/>
      <c r="L250" s="260"/>
      <c r="M250" s="260"/>
      <c r="N250" s="260"/>
      <c r="O250" s="260"/>
      <c r="P250" s="211"/>
      <c r="Q250" s="261"/>
      <c r="R250" s="208" t="str">
        <f ca="1">IF(ISERROR($V250),"",OFFSET('Smelter Look-up'!$C$4,$V250-4,0)&amp;"")</f>
        <v/>
      </c>
      <c r="S250" s="215" t="str">
        <f t="shared" ca="1" si="33"/>
        <v/>
      </c>
      <c r="T250" s="215" t="str">
        <f ca="1">IF(B250="","",IF(ISERROR(MATCH($J250,SorP!$B$1:$B$6230,0)),"",INDIRECT("'SorP'!$A$"&amp;MATCH($J250,SorP!$B$1:$B$6230,0))))</f>
        <v/>
      </c>
      <c r="U250" s="231"/>
      <c r="V250" s="262" t="e">
        <f>IF(C250="",NA(),IF(OR(C250="Smelter not listed",C250="Smelter not yet identified"),MATCH($B250&amp;$D250,'Smelter Look-up'!$J:$J,0),MATCH($B250&amp;$C250,'Smelter Look-up'!$J:$J,0)))</f>
        <v>#N/A</v>
      </c>
      <c r="W250" s="263"/>
      <c r="X250" s="263">
        <f t="shared" si="34"/>
        <v>0</v>
      </c>
      <c r="Y250" s="263"/>
      <c r="Z250" s="263"/>
      <c r="AB250" s="265" t="str">
        <f t="shared" si="35"/>
        <v/>
      </c>
    </row>
    <row r="251" spans="1:28" s="264" customFormat="1" ht="20.399999999999999">
      <c r="A251" s="207"/>
      <c r="B251" s="208"/>
      <c r="C251" s="212"/>
      <c r="D251" s="270"/>
      <c r="E251" s="208"/>
      <c r="F251" s="208"/>
      <c r="G251" s="208"/>
      <c r="H251" s="209"/>
      <c r="I251" s="210"/>
      <c r="J251" s="210"/>
      <c r="K251" s="260"/>
      <c r="L251" s="260"/>
      <c r="M251" s="260"/>
      <c r="N251" s="260"/>
      <c r="O251" s="260"/>
      <c r="P251" s="211"/>
      <c r="Q251" s="261"/>
      <c r="R251" s="208" t="str">
        <f ca="1">IF(ISERROR($V251),"",OFFSET('Smelter Look-up'!$C$4,$V251-4,0)&amp;"")</f>
        <v/>
      </c>
      <c r="S251" s="215" t="str">
        <f t="shared" ca="1" si="33"/>
        <v/>
      </c>
      <c r="T251" s="215" t="str">
        <f ca="1">IF(B251="","",IF(ISERROR(MATCH($J251,SorP!$B$1:$B$6230,0)),"",INDIRECT("'SorP'!$A$"&amp;MATCH($J251,SorP!$B$1:$B$6230,0))))</f>
        <v/>
      </c>
      <c r="U251" s="231"/>
      <c r="V251" s="262" t="e">
        <f>IF(C251="",NA(),IF(OR(C251="Smelter not listed",C251="Smelter not yet identified"),MATCH($B251&amp;$D251,'Smelter Look-up'!$J:$J,0),MATCH($B251&amp;$C251,'Smelter Look-up'!$J:$J,0)))</f>
        <v>#N/A</v>
      </c>
      <c r="W251" s="263"/>
      <c r="X251" s="263">
        <f t="shared" si="34"/>
        <v>0</v>
      </c>
      <c r="Y251" s="263"/>
      <c r="Z251" s="263"/>
      <c r="AB251" s="265" t="str">
        <f t="shared" si="35"/>
        <v/>
      </c>
    </row>
    <row r="252" spans="1:28" s="264" customFormat="1" ht="20.399999999999999">
      <c r="A252" s="207"/>
      <c r="B252" s="208"/>
      <c r="C252" s="212"/>
      <c r="D252" s="270"/>
      <c r="E252" s="208"/>
      <c r="F252" s="208"/>
      <c r="G252" s="208"/>
      <c r="H252" s="209"/>
      <c r="I252" s="210"/>
      <c r="J252" s="210"/>
      <c r="K252" s="260"/>
      <c r="L252" s="260"/>
      <c r="M252" s="260"/>
      <c r="N252" s="260"/>
      <c r="O252" s="260"/>
      <c r="P252" s="211"/>
      <c r="Q252" s="261"/>
      <c r="R252" s="208" t="str">
        <f ca="1">IF(ISERROR($V252),"",OFFSET('Smelter Look-up'!$C$4,$V252-4,0)&amp;"")</f>
        <v/>
      </c>
      <c r="S252" s="215" t="str">
        <f t="shared" ca="1" si="33"/>
        <v/>
      </c>
      <c r="T252" s="215" t="str">
        <f ca="1">IF(B252="","",IF(ISERROR(MATCH($J252,SorP!$B$1:$B$6230,0)),"",INDIRECT("'SorP'!$A$"&amp;MATCH($J252,SorP!$B$1:$B$6230,0))))</f>
        <v/>
      </c>
      <c r="U252" s="231"/>
      <c r="V252" s="262" t="e">
        <f>IF(C252="",NA(),IF(OR(C252="Smelter not listed",C252="Smelter not yet identified"),MATCH($B252&amp;$D252,'Smelter Look-up'!$J:$J,0),MATCH($B252&amp;$C252,'Smelter Look-up'!$J:$J,0)))</f>
        <v>#N/A</v>
      </c>
      <c r="W252" s="263"/>
      <c r="X252" s="263">
        <f t="shared" si="34"/>
        <v>0</v>
      </c>
      <c r="Y252" s="263"/>
      <c r="Z252" s="263"/>
      <c r="AB252" s="265" t="str">
        <f t="shared" si="35"/>
        <v/>
      </c>
    </row>
    <row r="253" spans="1:28" s="264" customFormat="1" ht="20.399999999999999">
      <c r="A253" s="207"/>
      <c r="B253" s="208"/>
      <c r="C253" s="212"/>
      <c r="D253" s="270"/>
      <c r="E253" s="208"/>
      <c r="F253" s="208"/>
      <c r="G253" s="208"/>
      <c r="H253" s="209"/>
      <c r="I253" s="210"/>
      <c r="J253" s="210"/>
      <c r="K253" s="260"/>
      <c r="L253" s="260"/>
      <c r="M253" s="260"/>
      <c r="N253" s="260"/>
      <c r="O253" s="260"/>
      <c r="P253" s="211"/>
      <c r="Q253" s="261"/>
      <c r="R253" s="208" t="str">
        <f ca="1">IF(ISERROR($V253),"",OFFSET('Smelter Look-up'!$C$4,$V253-4,0)&amp;"")</f>
        <v/>
      </c>
      <c r="S253" s="215" t="str">
        <f t="shared" ca="1" si="33"/>
        <v/>
      </c>
      <c r="T253" s="215" t="str">
        <f ca="1">IF(B253="","",IF(ISERROR(MATCH($J253,SorP!$B$1:$B$6230,0)),"",INDIRECT("'SorP'!$A$"&amp;MATCH($J253,SorP!$B$1:$B$6230,0))))</f>
        <v/>
      </c>
      <c r="U253" s="231"/>
      <c r="V253" s="262" t="e">
        <f>IF(C253="",NA(),IF(OR(C253="Smelter not listed",C253="Smelter not yet identified"),MATCH($B253&amp;$D253,'Smelter Look-up'!$J:$J,0),MATCH($B253&amp;$C253,'Smelter Look-up'!$J:$J,0)))</f>
        <v>#N/A</v>
      </c>
      <c r="W253" s="263"/>
      <c r="X253" s="263">
        <f t="shared" si="34"/>
        <v>0</v>
      </c>
      <c r="Y253" s="263"/>
      <c r="Z253" s="263"/>
      <c r="AB253" s="265" t="str">
        <f t="shared" si="35"/>
        <v/>
      </c>
    </row>
    <row r="254" spans="1:28" s="264" customFormat="1" ht="20.399999999999999">
      <c r="A254" s="207"/>
      <c r="B254" s="208"/>
      <c r="C254" s="212"/>
      <c r="D254" s="270"/>
      <c r="E254" s="208"/>
      <c r="F254" s="208"/>
      <c r="G254" s="208"/>
      <c r="H254" s="209"/>
      <c r="I254" s="210"/>
      <c r="J254" s="210"/>
      <c r="K254" s="260"/>
      <c r="L254" s="260"/>
      <c r="M254" s="260"/>
      <c r="N254" s="260"/>
      <c r="O254" s="260"/>
      <c r="P254" s="211"/>
      <c r="Q254" s="261"/>
      <c r="R254" s="208" t="str">
        <f ca="1">IF(ISERROR($V254),"",OFFSET('Smelter Look-up'!$C$4,$V254-4,0)&amp;"")</f>
        <v/>
      </c>
      <c r="S254" s="215" t="str">
        <f t="shared" ca="1" si="33"/>
        <v/>
      </c>
      <c r="T254" s="215" t="str">
        <f ca="1">IF(B254="","",IF(ISERROR(MATCH($J254,SorP!$B$1:$B$6230,0)),"",INDIRECT("'SorP'!$A$"&amp;MATCH($J254,SorP!$B$1:$B$6230,0))))</f>
        <v/>
      </c>
      <c r="U254" s="231"/>
      <c r="V254" s="262" t="e">
        <f>IF(C254="",NA(),IF(OR(C254="Smelter not listed",C254="Smelter not yet identified"),MATCH($B254&amp;$D254,'Smelter Look-up'!$J:$J,0),MATCH($B254&amp;$C254,'Smelter Look-up'!$J:$J,0)))</f>
        <v>#N/A</v>
      </c>
      <c r="W254" s="263"/>
      <c r="X254" s="263">
        <f t="shared" si="34"/>
        <v>0</v>
      </c>
      <c r="Y254" s="263"/>
      <c r="Z254" s="263"/>
      <c r="AB254" s="265" t="str">
        <f t="shared" si="35"/>
        <v/>
      </c>
    </row>
    <row r="255" spans="1:28" s="264" customFormat="1" ht="20.399999999999999">
      <c r="A255" s="207"/>
      <c r="B255" s="208"/>
      <c r="C255" s="212"/>
      <c r="D255" s="270"/>
      <c r="E255" s="208"/>
      <c r="F255" s="208"/>
      <c r="G255" s="208"/>
      <c r="H255" s="209"/>
      <c r="I255" s="210"/>
      <c r="J255" s="210"/>
      <c r="K255" s="260"/>
      <c r="L255" s="260"/>
      <c r="M255" s="260"/>
      <c r="N255" s="260"/>
      <c r="O255" s="260"/>
      <c r="P255" s="211"/>
      <c r="Q255" s="261"/>
      <c r="R255" s="208" t="str">
        <f ca="1">IF(ISERROR($V255),"",OFFSET('Smelter Look-up'!$C$4,$V255-4,0)&amp;"")</f>
        <v/>
      </c>
      <c r="S255" s="215" t="str">
        <f t="shared" ca="1" si="33"/>
        <v/>
      </c>
      <c r="T255" s="215" t="str">
        <f ca="1">IF(B255="","",IF(ISERROR(MATCH($J255,SorP!$B$1:$B$6230,0)),"",INDIRECT("'SorP'!$A$"&amp;MATCH($J255,SorP!$B$1:$B$6230,0))))</f>
        <v/>
      </c>
      <c r="U255" s="231"/>
      <c r="V255" s="262" t="e">
        <f>IF(C255="",NA(),IF(OR(C255="Smelter not listed",C255="Smelter not yet identified"),MATCH($B255&amp;$D255,'Smelter Look-up'!$J:$J,0),MATCH($B255&amp;$C255,'Smelter Look-up'!$J:$J,0)))</f>
        <v>#N/A</v>
      </c>
      <c r="W255" s="263"/>
      <c r="X255" s="263">
        <f t="shared" si="34"/>
        <v>0</v>
      </c>
      <c r="Y255" s="263"/>
      <c r="Z255" s="263"/>
      <c r="AB255" s="265" t="str">
        <f t="shared" si="35"/>
        <v/>
      </c>
    </row>
    <row r="256" spans="1:28" s="264" customFormat="1" ht="20.399999999999999">
      <c r="A256" s="207"/>
      <c r="B256" s="208"/>
      <c r="C256" s="212"/>
      <c r="D256" s="270"/>
      <c r="E256" s="208"/>
      <c r="F256" s="208"/>
      <c r="G256" s="208"/>
      <c r="H256" s="209"/>
      <c r="I256" s="210"/>
      <c r="J256" s="210"/>
      <c r="K256" s="260"/>
      <c r="L256" s="260"/>
      <c r="M256" s="260"/>
      <c r="N256" s="260"/>
      <c r="O256" s="260"/>
      <c r="P256" s="211"/>
      <c r="Q256" s="261"/>
      <c r="R256" s="208" t="str">
        <f ca="1">IF(ISERROR($V256),"",OFFSET('Smelter Look-up'!$C$4,$V256-4,0)&amp;"")</f>
        <v/>
      </c>
      <c r="S256" s="215" t="str">
        <f t="shared" ca="1" si="33"/>
        <v/>
      </c>
      <c r="T256" s="215" t="str">
        <f ca="1">IF(B256="","",IF(ISERROR(MATCH($J256,SorP!$B$1:$B$6230,0)),"",INDIRECT("'SorP'!$A$"&amp;MATCH($J256,SorP!$B$1:$B$6230,0))))</f>
        <v/>
      </c>
      <c r="U256" s="231"/>
      <c r="V256" s="262" t="e">
        <f>IF(C256="",NA(),IF(OR(C256="Smelter not listed",C256="Smelter not yet identified"),MATCH($B256&amp;$D256,'Smelter Look-up'!$J:$J,0),MATCH($B256&amp;$C256,'Smelter Look-up'!$J:$J,0)))</f>
        <v>#N/A</v>
      </c>
      <c r="W256" s="263"/>
      <c r="X256" s="263">
        <f t="shared" si="34"/>
        <v>0</v>
      </c>
      <c r="Y256" s="263"/>
      <c r="Z256" s="263"/>
      <c r="AB256" s="265" t="str">
        <f t="shared" si="35"/>
        <v/>
      </c>
    </row>
    <row r="257" spans="1:28" s="264" customFormat="1" ht="20.399999999999999">
      <c r="A257" s="207"/>
      <c r="B257" s="208"/>
      <c r="C257" s="212"/>
      <c r="D257" s="270"/>
      <c r="E257" s="208"/>
      <c r="F257" s="208"/>
      <c r="G257" s="208"/>
      <c r="H257" s="209"/>
      <c r="I257" s="210"/>
      <c r="J257" s="210"/>
      <c r="K257" s="260"/>
      <c r="L257" s="260"/>
      <c r="M257" s="260"/>
      <c r="N257" s="260"/>
      <c r="O257" s="260"/>
      <c r="P257" s="211"/>
      <c r="Q257" s="261"/>
      <c r="R257" s="208" t="str">
        <f ca="1">IF(ISERROR($V257),"",OFFSET('Smelter Look-up'!$C$4,$V257-4,0)&amp;"")</f>
        <v/>
      </c>
      <c r="S257" s="215" t="str">
        <f t="shared" ca="1" si="33"/>
        <v/>
      </c>
      <c r="T257" s="215" t="str">
        <f ca="1">IF(B257="","",IF(ISERROR(MATCH($J257,SorP!$B$1:$B$6230,0)),"",INDIRECT("'SorP'!$A$"&amp;MATCH($J257,SorP!$B$1:$B$6230,0))))</f>
        <v/>
      </c>
      <c r="U257" s="231"/>
      <c r="V257" s="262" t="e">
        <f>IF(C257="",NA(),IF(OR(C257="Smelter not listed",C257="Smelter not yet identified"),MATCH($B257&amp;$D257,'Smelter Look-up'!$J:$J,0),MATCH($B257&amp;$C257,'Smelter Look-up'!$J:$J,0)))</f>
        <v>#N/A</v>
      </c>
      <c r="W257" s="263"/>
      <c r="X257" s="263">
        <f t="shared" si="34"/>
        <v>0</v>
      </c>
      <c r="Y257" s="263"/>
      <c r="Z257" s="263"/>
      <c r="AB257" s="265" t="str">
        <f t="shared" si="35"/>
        <v/>
      </c>
    </row>
    <row r="258" spans="1:28" s="264" customFormat="1" ht="20.399999999999999">
      <c r="A258" s="207"/>
      <c r="B258" s="208"/>
      <c r="C258" s="212"/>
      <c r="D258" s="270"/>
      <c r="E258" s="208"/>
      <c r="F258" s="208"/>
      <c r="G258" s="208"/>
      <c r="H258" s="209"/>
      <c r="I258" s="210"/>
      <c r="J258" s="210"/>
      <c r="K258" s="260"/>
      <c r="L258" s="260"/>
      <c r="M258" s="260"/>
      <c r="N258" s="260"/>
      <c r="O258" s="260"/>
      <c r="P258" s="211"/>
      <c r="Q258" s="261"/>
      <c r="R258" s="208" t="str">
        <f ca="1">IF(ISERROR($V258),"",OFFSET('Smelter Look-up'!$C$4,$V258-4,0)&amp;"")</f>
        <v/>
      </c>
      <c r="S258" s="215" t="str">
        <f t="shared" ca="1" si="33"/>
        <v/>
      </c>
      <c r="T258" s="215" t="str">
        <f ca="1">IF(B258="","",IF(ISERROR(MATCH($J258,SorP!$B$1:$B$6230,0)),"",INDIRECT("'SorP'!$A$"&amp;MATCH($J258,SorP!$B$1:$B$6230,0))))</f>
        <v/>
      </c>
      <c r="U258" s="231"/>
      <c r="V258" s="262" t="e">
        <f>IF(C258="",NA(),IF(OR(C258="Smelter not listed",C258="Smelter not yet identified"),MATCH($B258&amp;$D258,'Smelter Look-up'!$J:$J,0),MATCH($B258&amp;$C258,'Smelter Look-up'!$J:$J,0)))</f>
        <v>#N/A</v>
      </c>
      <c r="W258" s="263"/>
      <c r="X258" s="263">
        <f t="shared" si="34"/>
        <v>0</v>
      </c>
      <c r="Y258" s="263"/>
      <c r="Z258" s="263"/>
      <c r="AB258" s="265" t="str">
        <f t="shared" si="35"/>
        <v/>
      </c>
    </row>
    <row r="259" spans="1:28" s="264" customFormat="1" ht="20.399999999999999">
      <c r="A259" s="207"/>
      <c r="B259" s="208"/>
      <c r="C259" s="212"/>
      <c r="D259" s="270"/>
      <c r="E259" s="208"/>
      <c r="F259" s="208"/>
      <c r="G259" s="208"/>
      <c r="H259" s="209"/>
      <c r="I259" s="210"/>
      <c r="J259" s="210"/>
      <c r="K259" s="260"/>
      <c r="L259" s="260"/>
      <c r="M259" s="260"/>
      <c r="N259" s="260"/>
      <c r="O259" s="260"/>
      <c r="P259" s="211"/>
      <c r="Q259" s="261"/>
      <c r="R259" s="208" t="str">
        <f ca="1">IF(ISERROR($V259),"",OFFSET('Smelter Look-up'!$C$4,$V259-4,0)&amp;"")</f>
        <v/>
      </c>
      <c r="S259" s="215" t="str">
        <f t="shared" ca="1" si="33"/>
        <v/>
      </c>
      <c r="T259" s="215" t="str">
        <f ca="1">IF(B259="","",IF(ISERROR(MATCH($J259,SorP!$B$1:$B$6230,0)),"",INDIRECT("'SorP'!$A$"&amp;MATCH($J259,SorP!$B$1:$B$6230,0))))</f>
        <v/>
      </c>
      <c r="U259" s="231"/>
      <c r="V259" s="262" t="e">
        <f>IF(C259="",NA(),IF(OR(C259="Smelter not listed",C259="Smelter not yet identified"),MATCH($B259&amp;$D259,'Smelter Look-up'!$J:$J,0),MATCH($B259&amp;$C259,'Smelter Look-up'!$J:$J,0)))</f>
        <v>#N/A</v>
      </c>
      <c r="W259" s="263"/>
      <c r="X259" s="263">
        <f t="shared" si="34"/>
        <v>0</v>
      </c>
      <c r="Y259" s="263"/>
      <c r="Z259" s="263"/>
      <c r="AB259" s="265" t="str">
        <f t="shared" si="35"/>
        <v/>
      </c>
    </row>
    <row r="260" spans="1:28" s="264" customFormat="1" ht="20.399999999999999">
      <c r="A260" s="207"/>
      <c r="B260" s="208"/>
      <c r="C260" s="212"/>
      <c r="D260" s="270"/>
      <c r="E260" s="208"/>
      <c r="F260" s="208"/>
      <c r="G260" s="208"/>
      <c r="H260" s="209"/>
      <c r="I260" s="210"/>
      <c r="J260" s="210"/>
      <c r="K260" s="260"/>
      <c r="L260" s="260"/>
      <c r="M260" s="260"/>
      <c r="N260" s="260"/>
      <c r="O260" s="260"/>
      <c r="P260" s="211"/>
      <c r="Q260" s="261"/>
      <c r="R260" s="208" t="str">
        <f ca="1">IF(ISERROR($V260),"",OFFSET('Smelter Look-up'!$C$4,$V260-4,0)&amp;"")</f>
        <v/>
      </c>
      <c r="S260" s="215" t="str">
        <f t="shared" ca="1" si="33"/>
        <v/>
      </c>
      <c r="T260" s="215" t="str">
        <f ca="1">IF(B260="","",IF(ISERROR(MATCH($J260,SorP!$B$1:$B$6230,0)),"",INDIRECT("'SorP'!$A$"&amp;MATCH($J260,SorP!$B$1:$B$6230,0))))</f>
        <v/>
      </c>
      <c r="U260" s="231"/>
      <c r="V260" s="262" t="e">
        <f>IF(C260="",NA(),IF(OR(C260="Smelter not listed",C260="Smelter not yet identified"),MATCH($B260&amp;$D260,'Smelter Look-up'!$J:$J,0),MATCH($B260&amp;$C260,'Smelter Look-up'!$J:$J,0)))</f>
        <v>#N/A</v>
      </c>
      <c r="W260" s="263"/>
      <c r="X260" s="263">
        <f t="shared" si="34"/>
        <v>0</v>
      </c>
      <c r="Y260" s="263"/>
      <c r="Z260" s="263"/>
      <c r="AB260" s="265" t="str">
        <f t="shared" si="35"/>
        <v/>
      </c>
    </row>
    <row r="261" spans="1:28" s="264" customFormat="1" ht="20.399999999999999">
      <c r="A261" s="207"/>
      <c r="B261" s="208"/>
      <c r="C261" s="212"/>
      <c r="D261" s="270"/>
      <c r="E261" s="208"/>
      <c r="F261" s="208"/>
      <c r="G261" s="208"/>
      <c r="H261" s="209"/>
      <c r="I261" s="210"/>
      <c r="J261" s="210"/>
      <c r="K261" s="260"/>
      <c r="L261" s="260"/>
      <c r="M261" s="260"/>
      <c r="N261" s="260"/>
      <c r="O261" s="260"/>
      <c r="P261" s="211"/>
      <c r="Q261" s="261"/>
      <c r="R261" s="208" t="str">
        <f ca="1">IF(ISERROR($V261),"",OFFSET('Smelter Look-up'!$C$4,$V261-4,0)&amp;"")</f>
        <v/>
      </c>
      <c r="S261" s="215" t="str">
        <f t="shared" ref="S261" ca="1" si="36">IF(B261="","",IF(ISERROR(MATCH($E261,CL,0)),"Unknown",INDIRECT("'C'!$A$"&amp;MATCH($E261,CL,0)+1)))</f>
        <v/>
      </c>
      <c r="T261" s="215" t="str">
        <f ca="1">IF(B261="","",IF(ISERROR(MATCH($J261,SorP!$B$1:$B$6230,0)),"",INDIRECT("'SorP'!$A$"&amp;MATCH($J261,SorP!$B$1:$B$6230,0))))</f>
        <v/>
      </c>
      <c r="U261" s="231"/>
      <c r="V261" s="262" t="e">
        <f>IF(C261="",NA(),IF(OR(C261="Smelter not listed",C261="Smelter not yet identified"),MATCH($B261&amp;$D261,'Smelter Look-up'!$J:$J,0),MATCH($B261&amp;$C261,'Smelter Look-up'!$J:$J,0)))</f>
        <v>#N/A</v>
      </c>
      <c r="W261" s="263"/>
      <c r="X261" s="263">
        <f t="shared" ref="X261" si="37">IF(AND(C261="Smelter not listed",OR(LEN(D261)=0,LEN(E261)=0)),1,0)</f>
        <v>0</v>
      </c>
      <c r="Y261" s="263"/>
      <c r="Z261" s="263"/>
      <c r="AB261" s="265" t="str">
        <f t="shared" ref="AB261" si="38">B261&amp;C261</f>
        <v/>
      </c>
    </row>
    <row r="262" spans="1:28" s="264" customFormat="1" ht="20.399999999999999">
      <c r="A262" s="207"/>
      <c r="B262" s="208"/>
      <c r="C262" s="212"/>
      <c r="D262" s="270"/>
      <c r="E262" s="208"/>
      <c r="F262" s="208"/>
      <c r="G262" s="208"/>
      <c r="H262" s="209"/>
      <c r="I262" s="210"/>
      <c r="J262" s="210"/>
      <c r="K262" s="260"/>
      <c r="L262" s="260"/>
      <c r="M262" s="260"/>
      <c r="N262" s="260"/>
      <c r="O262" s="260"/>
      <c r="P262" s="211"/>
      <c r="Q262" s="261"/>
      <c r="R262" s="208" t="str">
        <f ca="1">IF(ISERROR($V262),"",OFFSET('Smelter Look-up'!$C$4,$V262-4,0)&amp;"")</f>
        <v/>
      </c>
      <c r="S262" s="215" t="str">
        <f t="shared" ref="S262:S293" ca="1" si="39">IF(B262="","",IF(ISERROR(MATCH($E262,CL,0)),"Unknown",INDIRECT("'C'!$A$"&amp;MATCH($E262,CL,0)+1)))</f>
        <v/>
      </c>
      <c r="T262" s="215" t="str">
        <f ca="1">IF(B262="","",IF(ISERROR(MATCH($J262,SorP!$B$1:$B$6230,0)),"",INDIRECT("'SorP'!$A$"&amp;MATCH($J262,SorP!$B$1:$B$6230,0))))</f>
        <v/>
      </c>
      <c r="U262" s="231"/>
      <c r="V262" s="262" t="e">
        <f>IF(C262="",NA(),IF(OR(C262="Smelter not listed",C262="Smelter not yet identified"),MATCH($B262&amp;$D262,'Smelter Look-up'!$J:$J,0),MATCH($B262&amp;$C262,'Smelter Look-up'!$J:$J,0)))</f>
        <v>#N/A</v>
      </c>
      <c r="W262" s="263"/>
      <c r="X262" s="263">
        <f t="shared" ref="X262:X293" si="40">IF(AND(C262="Smelter not listed",OR(LEN(D262)=0,LEN(E262)=0)),1,0)</f>
        <v>0</v>
      </c>
      <c r="Y262" s="263"/>
      <c r="Z262" s="263"/>
      <c r="AB262" s="265" t="str">
        <f t="shared" ref="AB262:AB293" si="41">B262&amp;C262</f>
        <v/>
      </c>
    </row>
    <row r="263" spans="1:28" s="264" customFormat="1" ht="20.399999999999999">
      <c r="A263" s="207"/>
      <c r="B263" s="208"/>
      <c r="C263" s="212"/>
      <c r="D263" s="270"/>
      <c r="E263" s="208"/>
      <c r="F263" s="208"/>
      <c r="G263" s="208"/>
      <c r="H263" s="209"/>
      <c r="I263" s="210"/>
      <c r="J263" s="210"/>
      <c r="K263" s="260"/>
      <c r="L263" s="260"/>
      <c r="M263" s="260"/>
      <c r="N263" s="260"/>
      <c r="O263" s="260"/>
      <c r="P263" s="211"/>
      <c r="Q263" s="261"/>
      <c r="R263" s="208" t="str">
        <f ca="1">IF(ISERROR($V263),"",OFFSET('Smelter Look-up'!$C$4,$V263-4,0)&amp;"")</f>
        <v/>
      </c>
      <c r="S263" s="215" t="str">
        <f t="shared" ca="1" si="39"/>
        <v/>
      </c>
      <c r="T263" s="215" t="str">
        <f ca="1">IF(B263="","",IF(ISERROR(MATCH($J263,SorP!$B$1:$B$6230,0)),"",INDIRECT("'SorP'!$A$"&amp;MATCH($J263,SorP!$B$1:$B$6230,0))))</f>
        <v/>
      </c>
      <c r="U263" s="231"/>
      <c r="V263" s="262" t="e">
        <f>IF(C263="",NA(),IF(OR(C263="Smelter not listed",C263="Smelter not yet identified"),MATCH($B263&amp;$D263,'Smelter Look-up'!$J:$J,0),MATCH($B263&amp;$C263,'Smelter Look-up'!$J:$J,0)))</f>
        <v>#N/A</v>
      </c>
      <c r="W263" s="263"/>
      <c r="X263" s="263">
        <f t="shared" si="40"/>
        <v>0</v>
      </c>
      <c r="Y263" s="263"/>
      <c r="Z263" s="263"/>
      <c r="AB263" s="265" t="str">
        <f t="shared" si="41"/>
        <v/>
      </c>
    </row>
    <row r="264" spans="1:28" s="264" customFormat="1" ht="20.399999999999999">
      <c r="A264" s="207"/>
      <c r="B264" s="208"/>
      <c r="C264" s="212"/>
      <c r="D264" s="270"/>
      <c r="E264" s="208"/>
      <c r="F264" s="208"/>
      <c r="G264" s="208"/>
      <c r="H264" s="209"/>
      <c r="I264" s="210"/>
      <c r="J264" s="210"/>
      <c r="K264" s="260"/>
      <c r="L264" s="260"/>
      <c r="M264" s="260"/>
      <c r="N264" s="260"/>
      <c r="O264" s="260"/>
      <c r="P264" s="211"/>
      <c r="Q264" s="261"/>
      <c r="R264" s="208" t="str">
        <f ca="1">IF(ISERROR($V264),"",OFFSET('Smelter Look-up'!$C$4,$V264-4,0)&amp;"")</f>
        <v/>
      </c>
      <c r="S264" s="215" t="str">
        <f t="shared" ca="1" si="39"/>
        <v/>
      </c>
      <c r="T264" s="215" t="str">
        <f ca="1">IF(B264="","",IF(ISERROR(MATCH($J264,SorP!$B$1:$B$6230,0)),"",INDIRECT("'SorP'!$A$"&amp;MATCH($J264,SorP!$B$1:$B$6230,0))))</f>
        <v/>
      </c>
      <c r="U264" s="231"/>
      <c r="V264" s="262" t="e">
        <f>IF(C264="",NA(),IF(OR(C264="Smelter not listed",C264="Smelter not yet identified"),MATCH($B264&amp;$D264,'Smelter Look-up'!$J:$J,0),MATCH($B264&amp;$C264,'Smelter Look-up'!$J:$J,0)))</f>
        <v>#N/A</v>
      </c>
      <c r="W264" s="263"/>
      <c r="X264" s="263">
        <f t="shared" si="40"/>
        <v>0</v>
      </c>
      <c r="Y264" s="263"/>
      <c r="Z264" s="263"/>
      <c r="AB264" s="265" t="str">
        <f t="shared" si="41"/>
        <v/>
      </c>
    </row>
    <row r="265" spans="1:28" s="264" customFormat="1" ht="20.399999999999999">
      <c r="A265" s="207"/>
      <c r="B265" s="208"/>
      <c r="C265" s="212"/>
      <c r="D265" s="270"/>
      <c r="E265" s="208"/>
      <c r="F265" s="208"/>
      <c r="G265" s="208"/>
      <c r="H265" s="209"/>
      <c r="I265" s="210"/>
      <c r="J265" s="210"/>
      <c r="K265" s="260"/>
      <c r="L265" s="260"/>
      <c r="M265" s="260"/>
      <c r="N265" s="260"/>
      <c r="O265" s="260"/>
      <c r="P265" s="211"/>
      <c r="Q265" s="261"/>
      <c r="R265" s="208" t="str">
        <f ca="1">IF(ISERROR($V265),"",OFFSET('Smelter Look-up'!$C$4,$V265-4,0)&amp;"")</f>
        <v/>
      </c>
      <c r="S265" s="215" t="str">
        <f t="shared" ca="1" si="39"/>
        <v/>
      </c>
      <c r="T265" s="215" t="str">
        <f ca="1">IF(B265="","",IF(ISERROR(MATCH($J265,SorP!$B$1:$B$6230,0)),"",INDIRECT("'SorP'!$A$"&amp;MATCH($J265,SorP!$B$1:$B$6230,0))))</f>
        <v/>
      </c>
      <c r="U265" s="231"/>
      <c r="V265" s="262" t="e">
        <f>IF(C265="",NA(),IF(OR(C265="Smelter not listed",C265="Smelter not yet identified"),MATCH($B265&amp;$D265,'Smelter Look-up'!$J:$J,0),MATCH($B265&amp;$C265,'Smelter Look-up'!$J:$J,0)))</f>
        <v>#N/A</v>
      </c>
      <c r="W265" s="263"/>
      <c r="X265" s="263">
        <f t="shared" si="40"/>
        <v>0</v>
      </c>
      <c r="Y265" s="263"/>
      <c r="Z265" s="263"/>
      <c r="AB265" s="265" t="str">
        <f t="shared" si="41"/>
        <v/>
      </c>
    </row>
    <row r="266" spans="1:28" s="264" customFormat="1" ht="20.399999999999999">
      <c r="A266" s="207"/>
      <c r="B266" s="208"/>
      <c r="C266" s="212"/>
      <c r="D266" s="270"/>
      <c r="E266" s="208"/>
      <c r="F266" s="208"/>
      <c r="G266" s="208"/>
      <c r="H266" s="209"/>
      <c r="I266" s="210"/>
      <c r="J266" s="210"/>
      <c r="K266" s="260"/>
      <c r="L266" s="260"/>
      <c r="M266" s="260"/>
      <c r="N266" s="260"/>
      <c r="O266" s="260"/>
      <c r="P266" s="211"/>
      <c r="Q266" s="261"/>
      <c r="R266" s="208" t="str">
        <f ca="1">IF(ISERROR($V266),"",OFFSET('Smelter Look-up'!$C$4,$V266-4,0)&amp;"")</f>
        <v/>
      </c>
      <c r="S266" s="215" t="str">
        <f t="shared" ca="1" si="39"/>
        <v/>
      </c>
      <c r="T266" s="215" t="str">
        <f ca="1">IF(B266="","",IF(ISERROR(MATCH($J266,SorP!$B$1:$B$6230,0)),"",INDIRECT("'SorP'!$A$"&amp;MATCH($J266,SorP!$B$1:$B$6230,0))))</f>
        <v/>
      </c>
      <c r="U266" s="231"/>
      <c r="V266" s="262" t="e">
        <f>IF(C266="",NA(),IF(OR(C266="Smelter not listed",C266="Smelter not yet identified"),MATCH($B266&amp;$D266,'Smelter Look-up'!$J:$J,0),MATCH($B266&amp;$C266,'Smelter Look-up'!$J:$J,0)))</f>
        <v>#N/A</v>
      </c>
      <c r="W266" s="263"/>
      <c r="X266" s="263">
        <f t="shared" si="40"/>
        <v>0</v>
      </c>
      <c r="Y266" s="263"/>
      <c r="Z266" s="263"/>
      <c r="AB266" s="265" t="str">
        <f t="shared" si="41"/>
        <v/>
      </c>
    </row>
    <row r="267" spans="1:28" s="264" customFormat="1" ht="20.399999999999999">
      <c r="A267" s="207"/>
      <c r="B267" s="208"/>
      <c r="C267" s="212"/>
      <c r="D267" s="270"/>
      <c r="E267" s="208"/>
      <c r="F267" s="208"/>
      <c r="G267" s="208"/>
      <c r="H267" s="209"/>
      <c r="I267" s="210"/>
      <c r="J267" s="210"/>
      <c r="K267" s="260"/>
      <c r="L267" s="260"/>
      <c r="M267" s="260"/>
      <c r="N267" s="260"/>
      <c r="O267" s="260"/>
      <c r="P267" s="211"/>
      <c r="Q267" s="261"/>
      <c r="R267" s="208" t="str">
        <f ca="1">IF(ISERROR($V267),"",OFFSET('Smelter Look-up'!$C$4,$V267-4,0)&amp;"")</f>
        <v/>
      </c>
      <c r="S267" s="215" t="str">
        <f t="shared" ca="1" si="39"/>
        <v/>
      </c>
      <c r="T267" s="215" t="str">
        <f ca="1">IF(B267="","",IF(ISERROR(MATCH($J267,SorP!$B$1:$B$6230,0)),"",INDIRECT("'SorP'!$A$"&amp;MATCH($J267,SorP!$B$1:$B$6230,0))))</f>
        <v/>
      </c>
      <c r="U267" s="231"/>
      <c r="V267" s="262" t="e">
        <f>IF(C267="",NA(),IF(OR(C267="Smelter not listed",C267="Smelter not yet identified"),MATCH($B267&amp;$D267,'Smelter Look-up'!$J:$J,0),MATCH($B267&amp;$C267,'Smelter Look-up'!$J:$J,0)))</f>
        <v>#N/A</v>
      </c>
      <c r="W267" s="263"/>
      <c r="X267" s="263">
        <f t="shared" si="40"/>
        <v>0</v>
      </c>
      <c r="Y267" s="263"/>
      <c r="Z267" s="263"/>
      <c r="AB267" s="265" t="str">
        <f t="shared" si="41"/>
        <v/>
      </c>
    </row>
    <row r="268" spans="1:28" s="264" customFormat="1" ht="20.399999999999999">
      <c r="A268" s="207"/>
      <c r="B268" s="208"/>
      <c r="C268" s="212"/>
      <c r="D268" s="270"/>
      <c r="E268" s="208"/>
      <c r="F268" s="208"/>
      <c r="G268" s="208"/>
      <c r="H268" s="209"/>
      <c r="I268" s="210"/>
      <c r="J268" s="210"/>
      <c r="K268" s="260"/>
      <c r="L268" s="260"/>
      <c r="M268" s="260"/>
      <c r="N268" s="260"/>
      <c r="O268" s="260"/>
      <c r="P268" s="211"/>
      <c r="Q268" s="261"/>
      <c r="R268" s="208" t="str">
        <f ca="1">IF(ISERROR($V268),"",OFFSET('Smelter Look-up'!$C$4,$V268-4,0)&amp;"")</f>
        <v/>
      </c>
      <c r="S268" s="215" t="str">
        <f t="shared" ca="1" si="39"/>
        <v/>
      </c>
      <c r="T268" s="215" t="str">
        <f ca="1">IF(B268="","",IF(ISERROR(MATCH($J268,SorP!$B$1:$B$6230,0)),"",INDIRECT("'SorP'!$A$"&amp;MATCH($J268,SorP!$B$1:$B$6230,0))))</f>
        <v/>
      </c>
      <c r="U268" s="231"/>
      <c r="V268" s="262" t="e">
        <f>IF(C268="",NA(),IF(OR(C268="Smelter not listed",C268="Smelter not yet identified"),MATCH($B268&amp;$D268,'Smelter Look-up'!$J:$J,0),MATCH($B268&amp;$C268,'Smelter Look-up'!$J:$J,0)))</f>
        <v>#N/A</v>
      </c>
      <c r="W268" s="263"/>
      <c r="X268" s="263">
        <f t="shared" si="40"/>
        <v>0</v>
      </c>
      <c r="Y268" s="263"/>
      <c r="Z268" s="263"/>
      <c r="AB268" s="265" t="str">
        <f t="shared" si="41"/>
        <v/>
      </c>
    </row>
    <row r="269" spans="1:28" s="264" customFormat="1" ht="20.399999999999999">
      <c r="A269" s="207"/>
      <c r="B269" s="208"/>
      <c r="C269" s="212"/>
      <c r="D269" s="270"/>
      <c r="E269" s="208"/>
      <c r="F269" s="208"/>
      <c r="G269" s="208"/>
      <c r="H269" s="209"/>
      <c r="I269" s="210"/>
      <c r="J269" s="210"/>
      <c r="K269" s="260"/>
      <c r="L269" s="260"/>
      <c r="M269" s="260"/>
      <c r="N269" s="260"/>
      <c r="O269" s="260"/>
      <c r="P269" s="211"/>
      <c r="Q269" s="261"/>
      <c r="R269" s="208" t="str">
        <f ca="1">IF(ISERROR($V269),"",OFFSET('Smelter Look-up'!$C$4,$V269-4,0)&amp;"")</f>
        <v/>
      </c>
      <c r="S269" s="215" t="str">
        <f t="shared" ca="1" si="39"/>
        <v/>
      </c>
      <c r="T269" s="215" t="str">
        <f ca="1">IF(B269="","",IF(ISERROR(MATCH($J269,SorP!$B$1:$B$6230,0)),"",INDIRECT("'SorP'!$A$"&amp;MATCH($J269,SorP!$B$1:$B$6230,0))))</f>
        <v/>
      </c>
      <c r="U269" s="231"/>
      <c r="V269" s="262" t="e">
        <f>IF(C269="",NA(),IF(OR(C269="Smelter not listed",C269="Smelter not yet identified"),MATCH($B269&amp;$D269,'Smelter Look-up'!$J:$J,0),MATCH($B269&amp;$C269,'Smelter Look-up'!$J:$J,0)))</f>
        <v>#N/A</v>
      </c>
      <c r="W269" s="263"/>
      <c r="X269" s="263">
        <f t="shared" si="40"/>
        <v>0</v>
      </c>
      <c r="Y269" s="263"/>
      <c r="Z269" s="263"/>
      <c r="AB269" s="265" t="str">
        <f t="shared" si="41"/>
        <v/>
      </c>
    </row>
    <row r="270" spans="1:28" s="264" customFormat="1" ht="20.399999999999999">
      <c r="A270" s="207"/>
      <c r="B270" s="208"/>
      <c r="C270" s="212"/>
      <c r="D270" s="270"/>
      <c r="E270" s="208"/>
      <c r="F270" s="208"/>
      <c r="G270" s="208"/>
      <c r="H270" s="209"/>
      <c r="I270" s="210"/>
      <c r="J270" s="210"/>
      <c r="K270" s="260"/>
      <c r="L270" s="260"/>
      <c r="M270" s="260"/>
      <c r="N270" s="260"/>
      <c r="O270" s="260"/>
      <c r="P270" s="211"/>
      <c r="Q270" s="261"/>
      <c r="R270" s="208" t="str">
        <f ca="1">IF(ISERROR($V270),"",OFFSET('Smelter Look-up'!$C$4,$V270-4,0)&amp;"")</f>
        <v/>
      </c>
      <c r="S270" s="215" t="str">
        <f t="shared" ca="1" si="39"/>
        <v/>
      </c>
      <c r="T270" s="215" t="str">
        <f ca="1">IF(B270="","",IF(ISERROR(MATCH($J270,SorP!$B$1:$B$6230,0)),"",INDIRECT("'SorP'!$A$"&amp;MATCH($J270,SorP!$B$1:$B$6230,0))))</f>
        <v/>
      </c>
      <c r="U270" s="231"/>
      <c r="V270" s="262" t="e">
        <f>IF(C270="",NA(),IF(OR(C270="Smelter not listed",C270="Smelter not yet identified"),MATCH($B270&amp;$D270,'Smelter Look-up'!$J:$J,0),MATCH($B270&amp;$C270,'Smelter Look-up'!$J:$J,0)))</f>
        <v>#N/A</v>
      </c>
      <c r="W270" s="263"/>
      <c r="X270" s="263">
        <f t="shared" si="40"/>
        <v>0</v>
      </c>
      <c r="Y270" s="263"/>
      <c r="Z270" s="263"/>
      <c r="AB270" s="265" t="str">
        <f t="shared" si="41"/>
        <v/>
      </c>
    </row>
    <row r="271" spans="1:28" s="264" customFormat="1" ht="20.399999999999999">
      <c r="A271" s="207"/>
      <c r="B271" s="208"/>
      <c r="C271" s="212"/>
      <c r="D271" s="270"/>
      <c r="E271" s="208"/>
      <c r="F271" s="208"/>
      <c r="G271" s="208"/>
      <c r="H271" s="209"/>
      <c r="I271" s="210"/>
      <c r="J271" s="210"/>
      <c r="K271" s="260"/>
      <c r="L271" s="260"/>
      <c r="M271" s="260"/>
      <c r="N271" s="260"/>
      <c r="O271" s="260"/>
      <c r="P271" s="211"/>
      <c r="Q271" s="261"/>
      <c r="R271" s="208" t="str">
        <f ca="1">IF(ISERROR($V271),"",OFFSET('Smelter Look-up'!$C$4,$V271-4,0)&amp;"")</f>
        <v/>
      </c>
      <c r="S271" s="215" t="str">
        <f t="shared" ca="1" si="39"/>
        <v/>
      </c>
      <c r="T271" s="215" t="str">
        <f ca="1">IF(B271="","",IF(ISERROR(MATCH($J271,SorP!$B$1:$B$6230,0)),"",INDIRECT("'SorP'!$A$"&amp;MATCH($J271,SorP!$B$1:$B$6230,0))))</f>
        <v/>
      </c>
      <c r="U271" s="231"/>
      <c r="V271" s="262" t="e">
        <f>IF(C271="",NA(),IF(OR(C271="Smelter not listed",C271="Smelter not yet identified"),MATCH($B271&amp;$D271,'Smelter Look-up'!$J:$J,0),MATCH($B271&amp;$C271,'Smelter Look-up'!$J:$J,0)))</f>
        <v>#N/A</v>
      </c>
      <c r="W271" s="263"/>
      <c r="X271" s="263">
        <f t="shared" si="40"/>
        <v>0</v>
      </c>
      <c r="Y271" s="263"/>
      <c r="Z271" s="263"/>
      <c r="AB271" s="265" t="str">
        <f t="shared" si="41"/>
        <v/>
      </c>
    </row>
    <row r="272" spans="1:28" s="264" customFormat="1" ht="20.399999999999999">
      <c r="A272" s="207"/>
      <c r="B272" s="208"/>
      <c r="C272" s="212"/>
      <c r="D272" s="270"/>
      <c r="E272" s="208"/>
      <c r="F272" s="208"/>
      <c r="G272" s="208"/>
      <c r="H272" s="209"/>
      <c r="I272" s="210"/>
      <c r="J272" s="210"/>
      <c r="K272" s="260"/>
      <c r="L272" s="260"/>
      <c r="M272" s="260"/>
      <c r="N272" s="260"/>
      <c r="O272" s="260"/>
      <c r="P272" s="211"/>
      <c r="Q272" s="261"/>
      <c r="R272" s="208" t="str">
        <f ca="1">IF(ISERROR($V272),"",OFFSET('Smelter Look-up'!$C$4,$V272-4,0)&amp;"")</f>
        <v/>
      </c>
      <c r="S272" s="215" t="str">
        <f t="shared" ca="1" si="39"/>
        <v/>
      </c>
      <c r="T272" s="215" t="str">
        <f ca="1">IF(B272="","",IF(ISERROR(MATCH($J272,SorP!$B$1:$B$6230,0)),"",INDIRECT("'SorP'!$A$"&amp;MATCH($J272,SorP!$B$1:$B$6230,0))))</f>
        <v/>
      </c>
      <c r="U272" s="231"/>
      <c r="V272" s="262" t="e">
        <f>IF(C272="",NA(),IF(OR(C272="Smelter not listed",C272="Smelter not yet identified"),MATCH($B272&amp;$D272,'Smelter Look-up'!$J:$J,0),MATCH($B272&amp;$C272,'Smelter Look-up'!$J:$J,0)))</f>
        <v>#N/A</v>
      </c>
      <c r="W272" s="263"/>
      <c r="X272" s="263">
        <f t="shared" si="40"/>
        <v>0</v>
      </c>
      <c r="Y272" s="263"/>
      <c r="Z272" s="263"/>
      <c r="AB272" s="265" t="str">
        <f t="shared" si="41"/>
        <v/>
      </c>
    </row>
    <row r="273" spans="1:28" s="264" customFormat="1" ht="20.399999999999999">
      <c r="A273" s="207"/>
      <c r="B273" s="208"/>
      <c r="C273" s="212"/>
      <c r="D273" s="270"/>
      <c r="E273" s="208"/>
      <c r="F273" s="208"/>
      <c r="G273" s="208"/>
      <c r="H273" s="209"/>
      <c r="I273" s="210"/>
      <c r="J273" s="210"/>
      <c r="K273" s="260"/>
      <c r="L273" s="260"/>
      <c r="M273" s="260"/>
      <c r="N273" s="260"/>
      <c r="O273" s="260"/>
      <c r="P273" s="211"/>
      <c r="Q273" s="261"/>
      <c r="R273" s="208" t="str">
        <f ca="1">IF(ISERROR($V273),"",OFFSET('Smelter Look-up'!$C$4,$V273-4,0)&amp;"")</f>
        <v/>
      </c>
      <c r="S273" s="215" t="str">
        <f t="shared" ca="1" si="39"/>
        <v/>
      </c>
      <c r="T273" s="215" t="str">
        <f ca="1">IF(B273="","",IF(ISERROR(MATCH($J273,SorP!$B$1:$B$6230,0)),"",INDIRECT("'SorP'!$A$"&amp;MATCH($J273,SorP!$B$1:$B$6230,0))))</f>
        <v/>
      </c>
      <c r="U273" s="231"/>
      <c r="V273" s="262" t="e">
        <f>IF(C273="",NA(),IF(OR(C273="Smelter not listed",C273="Smelter not yet identified"),MATCH($B273&amp;$D273,'Smelter Look-up'!$J:$J,0),MATCH($B273&amp;$C273,'Smelter Look-up'!$J:$J,0)))</f>
        <v>#N/A</v>
      </c>
      <c r="W273" s="263"/>
      <c r="X273" s="263">
        <f t="shared" si="40"/>
        <v>0</v>
      </c>
      <c r="Y273" s="263"/>
      <c r="Z273" s="263"/>
      <c r="AB273" s="265" t="str">
        <f t="shared" si="41"/>
        <v/>
      </c>
    </row>
    <row r="274" spans="1:28" s="264" customFormat="1" ht="20.399999999999999">
      <c r="A274" s="207"/>
      <c r="B274" s="208"/>
      <c r="C274" s="212"/>
      <c r="D274" s="270"/>
      <c r="E274" s="208"/>
      <c r="F274" s="208"/>
      <c r="G274" s="208"/>
      <c r="H274" s="209"/>
      <c r="I274" s="210"/>
      <c r="J274" s="210"/>
      <c r="K274" s="260"/>
      <c r="L274" s="260"/>
      <c r="M274" s="260"/>
      <c r="N274" s="260"/>
      <c r="O274" s="260"/>
      <c r="P274" s="211"/>
      <c r="Q274" s="261"/>
      <c r="R274" s="208" t="str">
        <f ca="1">IF(ISERROR($V274),"",OFFSET('Smelter Look-up'!$C$4,$V274-4,0)&amp;"")</f>
        <v/>
      </c>
      <c r="S274" s="215" t="str">
        <f t="shared" ca="1" si="39"/>
        <v/>
      </c>
      <c r="T274" s="215" t="str">
        <f ca="1">IF(B274="","",IF(ISERROR(MATCH($J274,SorP!$B$1:$B$6230,0)),"",INDIRECT("'SorP'!$A$"&amp;MATCH($J274,SorP!$B$1:$B$6230,0))))</f>
        <v/>
      </c>
      <c r="U274" s="231"/>
      <c r="V274" s="262" t="e">
        <f>IF(C274="",NA(),IF(OR(C274="Smelter not listed",C274="Smelter not yet identified"),MATCH($B274&amp;$D274,'Smelter Look-up'!$J:$J,0),MATCH($B274&amp;$C274,'Smelter Look-up'!$J:$J,0)))</f>
        <v>#N/A</v>
      </c>
      <c r="W274" s="263"/>
      <c r="X274" s="263">
        <f t="shared" si="40"/>
        <v>0</v>
      </c>
      <c r="Y274" s="263"/>
      <c r="Z274" s="263"/>
      <c r="AB274" s="265" t="str">
        <f t="shared" si="41"/>
        <v/>
      </c>
    </row>
    <row r="275" spans="1:28" s="264" customFormat="1" ht="20.399999999999999">
      <c r="A275" s="207"/>
      <c r="B275" s="208"/>
      <c r="C275" s="212"/>
      <c r="D275" s="270"/>
      <c r="E275" s="208"/>
      <c r="F275" s="208"/>
      <c r="G275" s="208"/>
      <c r="H275" s="209"/>
      <c r="I275" s="210"/>
      <c r="J275" s="210"/>
      <c r="K275" s="260"/>
      <c r="L275" s="260"/>
      <c r="M275" s="260"/>
      <c r="N275" s="260"/>
      <c r="O275" s="260"/>
      <c r="P275" s="211"/>
      <c r="Q275" s="261"/>
      <c r="R275" s="208" t="str">
        <f ca="1">IF(ISERROR($V275),"",OFFSET('Smelter Look-up'!$C$4,$V275-4,0)&amp;"")</f>
        <v/>
      </c>
      <c r="S275" s="215" t="str">
        <f t="shared" ca="1" si="39"/>
        <v/>
      </c>
      <c r="T275" s="215" t="str">
        <f ca="1">IF(B275="","",IF(ISERROR(MATCH($J275,SorP!$B$1:$B$6230,0)),"",INDIRECT("'SorP'!$A$"&amp;MATCH($J275,SorP!$B$1:$B$6230,0))))</f>
        <v/>
      </c>
      <c r="U275" s="231"/>
      <c r="V275" s="262" t="e">
        <f>IF(C275="",NA(),IF(OR(C275="Smelter not listed",C275="Smelter not yet identified"),MATCH($B275&amp;$D275,'Smelter Look-up'!$J:$J,0),MATCH($B275&amp;$C275,'Smelter Look-up'!$J:$J,0)))</f>
        <v>#N/A</v>
      </c>
      <c r="W275" s="263"/>
      <c r="X275" s="263">
        <f t="shared" si="40"/>
        <v>0</v>
      </c>
      <c r="Y275" s="263"/>
      <c r="Z275" s="263"/>
      <c r="AB275" s="265" t="str">
        <f t="shared" si="41"/>
        <v/>
      </c>
    </row>
    <row r="276" spans="1:28" s="264" customFormat="1" ht="20.399999999999999">
      <c r="A276" s="207"/>
      <c r="B276" s="208"/>
      <c r="C276" s="212"/>
      <c r="D276" s="270"/>
      <c r="E276" s="208"/>
      <c r="F276" s="208"/>
      <c r="G276" s="208"/>
      <c r="H276" s="209"/>
      <c r="I276" s="210"/>
      <c r="J276" s="210"/>
      <c r="K276" s="260"/>
      <c r="L276" s="260"/>
      <c r="M276" s="260"/>
      <c r="N276" s="260"/>
      <c r="O276" s="260"/>
      <c r="P276" s="211"/>
      <c r="Q276" s="261"/>
      <c r="R276" s="208" t="str">
        <f ca="1">IF(ISERROR($V276),"",OFFSET('Smelter Look-up'!$C$4,$V276-4,0)&amp;"")</f>
        <v/>
      </c>
      <c r="S276" s="215" t="str">
        <f t="shared" ca="1" si="39"/>
        <v/>
      </c>
      <c r="T276" s="215" t="str">
        <f ca="1">IF(B276="","",IF(ISERROR(MATCH($J276,SorP!$B$1:$B$6230,0)),"",INDIRECT("'SorP'!$A$"&amp;MATCH($J276,SorP!$B$1:$B$6230,0))))</f>
        <v/>
      </c>
      <c r="U276" s="231"/>
      <c r="V276" s="262" t="e">
        <f>IF(C276="",NA(),IF(OR(C276="Smelter not listed",C276="Smelter not yet identified"),MATCH($B276&amp;$D276,'Smelter Look-up'!$J:$J,0),MATCH($B276&amp;$C276,'Smelter Look-up'!$J:$J,0)))</f>
        <v>#N/A</v>
      </c>
      <c r="W276" s="263"/>
      <c r="X276" s="263">
        <f t="shared" si="40"/>
        <v>0</v>
      </c>
      <c r="Y276" s="263"/>
      <c r="Z276" s="263"/>
      <c r="AB276" s="265" t="str">
        <f t="shared" si="41"/>
        <v/>
      </c>
    </row>
    <row r="277" spans="1:28" s="264" customFormat="1" ht="20.399999999999999">
      <c r="A277" s="207"/>
      <c r="B277" s="208"/>
      <c r="C277" s="212"/>
      <c r="D277" s="270"/>
      <c r="E277" s="208"/>
      <c r="F277" s="208"/>
      <c r="G277" s="208"/>
      <c r="H277" s="209"/>
      <c r="I277" s="210"/>
      <c r="J277" s="210"/>
      <c r="K277" s="260"/>
      <c r="L277" s="260"/>
      <c r="M277" s="260"/>
      <c r="N277" s="260"/>
      <c r="O277" s="260"/>
      <c r="P277" s="211"/>
      <c r="Q277" s="261"/>
      <c r="R277" s="208" t="str">
        <f ca="1">IF(ISERROR($V277),"",OFFSET('Smelter Look-up'!$C$4,$V277-4,0)&amp;"")</f>
        <v/>
      </c>
      <c r="S277" s="215" t="str">
        <f t="shared" ca="1" si="39"/>
        <v/>
      </c>
      <c r="T277" s="215" t="str">
        <f ca="1">IF(B277="","",IF(ISERROR(MATCH($J277,SorP!$B$1:$B$6230,0)),"",INDIRECT("'SorP'!$A$"&amp;MATCH($J277,SorP!$B$1:$B$6230,0))))</f>
        <v/>
      </c>
      <c r="U277" s="231"/>
      <c r="V277" s="262" t="e">
        <f>IF(C277="",NA(),IF(OR(C277="Smelter not listed",C277="Smelter not yet identified"),MATCH($B277&amp;$D277,'Smelter Look-up'!$J:$J,0),MATCH($B277&amp;$C277,'Smelter Look-up'!$J:$J,0)))</f>
        <v>#N/A</v>
      </c>
      <c r="W277" s="263"/>
      <c r="X277" s="263">
        <f t="shared" si="40"/>
        <v>0</v>
      </c>
      <c r="Y277" s="263"/>
      <c r="Z277" s="263"/>
      <c r="AB277" s="265" t="str">
        <f t="shared" si="41"/>
        <v/>
      </c>
    </row>
    <row r="278" spans="1:28" s="264" customFormat="1" ht="20.399999999999999">
      <c r="A278" s="207"/>
      <c r="B278" s="208"/>
      <c r="C278" s="212"/>
      <c r="D278" s="270"/>
      <c r="E278" s="208"/>
      <c r="F278" s="208"/>
      <c r="G278" s="208"/>
      <c r="H278" s="209"/>
      <c r="I278" s="210"/>
      <c r="J278" s="210"/>
      <c r="K278" s="260"/>
      <c r="L278" s="260"/>
      <c r="M278" s="260"/>
      <c r="N278" s="260"/>
      <c r="O278" s="260"/>
      <c r="P278" s="211"/>
      <c r="Q278" s="261"/>
      <c r="R278" s="208" t="str">
        <f ca="1">IF(ISERROR($V278),"",OFFSET('Smelter Look-up'!$C$4,$V278-4,0)&amp;"")</f>
        <v/>
      </c>
      <c r="S278" s="215" t="str">
        <f t="shared" ca="1" si="39"/>
        <v/>
      </c>
      <c r="T278" s="215" t="str">
        <f ca="1">IF(B278="","",IF(ISERROR(MATCH($J278,SorP!$B$1:$B$6230,0)),"",INDIRECT("'SorP'!$A$"&amp;MATCH($J278,SorP!$B$1:$B$6230,0))))</f>
        <v/>
      </c>
      <c r="U278" s="231"/>
      <c r="V278" s="262" t="e">
        <f>IF(C278="",NA(),IF(OR(C278="Smelter not listed",C278="Smelter not yet identified"),MATCH($B278&amp;$D278,'Smelter Look-up'!$J:$J,0),MATCH($B278&amp;$C278,'Smelter Look-up'!$J:$J,0)))</f>
        <v>#N/A</v>
      </c>
      <c r="W278" s="263"/>
      <c r="X278" s="263">
        <f t="shared" si="40"/>
        <v>0</v>
      </c>
      <c r="Y278" s="263"/>
      <c r="Z278" s="263"/>
      <c r="AB278" s="265" t="str">
        <f t="shared" si="41"/>
        <v/>
      </c>
    </row>
    <row r="279" spans="1:28" s="264" customFormat="1" ht="20.399999999999999">
      <c r="A279" s="207"/>
      <c r="B279" s="208"/>
      <c r="C279" s="212"/>
      <c r="D279" s="270"/>
      <c r="E279" s="208"/>
      <c r="F279" s="208"/>
      <c r="G279" s="208"/>
      <c r="H279" s="209"/>
      <c r="I279" s="210"/>
      <c r="J279" s="210"/>
      <c r="K279" s="260"/>
      <c r="L279" s="260"/>
      <c r="M279" s="260"/>
      <c r="N279" s="260"/>
      <c r="O279" s="260"/>
      <c r="P279" s="211"/>
      <c r="Q279" s="261"/>
      <c r="R279" s="208" t="str">
        <f ca="1">IF(ISERROR($V279),"",OFFSET('Smelter Look-up'!$C$4,$V279-4,0)&amp;"")</f>
        <v/>
      </c>
      <c r="S279" s="215" t="str">
        <f t="shared" ca="1" si="39"/>
        <v/>
      </c>
      <c r="T279" s="215" t="str">
        <f ca="1">IF(B279="","",IF(ISERROR(MATCH($J279,SorP!$B$1:$B$6230,0)),"",INDIRECT("'SorP'!$A$"&amp;MATCH($J279,SorP!$B$1:$B$6230,0))))</f>
        <v/>
      </c>
      <c r="U279" s="231"/>
      <c r="V279" s="262" t="e">
        <f>IF(C279="",NA(),IF(OR(C279="Smelter not listed",C279="Smelter not yet identified"),MATCH($B279&amp;$D279,'Smelter Look-up'!$J:$J,0),MATCH($B279&amp;$C279,'Smelter Look-up'!$J:$J,0)))</f>
        <v>#N/A</v>
      </c>
      <c r="W279" s="263"/>
      <c r="X279" s="263">
        <f t="shared" si="40"/>
        <v>0</v>
      </c>
      <c r="Y279" s="263"/>
      <c r="Z279" s="263"/>
      <c r="AB279" s="265" t="str">
        <f t="shared" si="41"/>
        <v/>
      </c>
    </row>
    <row r="280" spans="1:28" s="264" customFormat="1" ht="20.399999999999999">
      <c r="A280" s="207"/>
      <c r="B280" s="208"/>
      <c r="C280" s="212"/>
      <c r="D280" s="270"/>
      <c r="E280" s="208"/>
      <c r="F280" s="208"/>
      <c r="G280" s="208"/>
      <c r="H280" s="209"/>
      <c r="I280" s="210"/>
      <c r="J280" s="210"/>
      <c r="K280" s="260"/>
      <c r="L280" s="260"/>
      <c r="M280" s="260"/>
      <c r="N280" s="260"/>
      <c r="O280" s="260"/>
      <c r="P280" s="211"/>
      <c r="Q280" s="261"/>
      <c r="R280" s="208" t="str">
        <f ca="1">IF(ISERROR($V280),"",OFFSET('Smelter Look-up'!$C$4,$V280-4,0)&amp;"")</f>
        <v/>
      </c>
      <c r="S280" s="215" t="str">
        <f t="shared" ca="1" si="39"/>
        <v/>
      </c>
      <c r="T280" s="215" t="str">
        <f ca="1">IF(B280="","",IF(ISERROR(MATCH($J280,SorP!$B$1:$B$6230,0)),"",INDIRECT("'SorP'!$A$"&amp;MATCH($J280,SorP!$B$1:$B$6230,0))))</f>
        <v/>
      </c>
      <c r="U280" s="231"/>
      <c r="V280" s="262" t="e">
        <f>IF(C280="",NA(),IF(OR(C280="Smelter not listed",C280="Smelter not yet identified"),MATCH($B280&amp;$D280,'Smelter Look-up'!$J:$J,0),MATCH($B280&amp;$C280,'Smelter Look-up'!$J:$J,0)))</f>
        <v>#N/A</v>
      </c>
      <c r="W280" s="263"/>
      <c r="X280" s="263">
        <f t="shared" si="40"/>
        <v>0</v>
      </c>
      <c r="Y280" s="263"/>
      <c r="Z280" s="263"/>
      <c r="AB280" s="265" t="str">
        <f t="shared" si="41"/>
        <v/>
      </c>
    </row>
    <row r="281" spans="1:28" s="264" customFormat="1" ht="20.399999999999999">
      <c r="A281" s="207"/>
      <c r="B281" s="208"/>
      <c r="C281" s="212"/>
      <c r="D281" s="270"/>
      <c r="E281" s="208"/>
      <c r="F281" s="208"/>
      <c r="G281" s="208"/>
      <c r="H281" s="209"/>
      <c r="I281" s="210"/>
      <c r="J281" s="210"/>
      <c r="K281" s="260"/>
      <c r="L281" s="260"/>
      <c r="M281" s="260"/>
      <c r="N281" s="260"/>
      <c r="O281" s="260"/>
      <c r="P281" s="211"/>
      <c r="Q281" s="261"/>
      <c r="R281" s="208" t="str">
        <f ca="1">IF(ISERROR($V281),"",OFFSET('Smelter Look-up'!$C$4,$V281-4,0)&amp;"")</f>
        <v/>
      </c>
      <c r="S281" s="215" t="str">
        <f t="shared" ca="1" si="39"/>
        <v/>
      </c>
      <c r="T281" s="215" t="str">
        <f ca="1">IF(B281="","",IF(ISERROR(MATCH($J281,SorP!$B$1:$B$6230,0)),"",INDIRECT("'SorP'!$A$"&amp;MATCH($J281,SorP!$B$1:$B$6230,0))))</f>
        <v/>
      </c>
      <c r="U281" s="231"/>
      <c r="V281" s="262" t="e">
        <f>IF(C281="",NA(),IF(OR(C281="Smelter not listed",C281="Smelter not yet identified"),MATCH($B281&amp;$D281,'Smelter Look-up'!$J:$J,0),MATCH($B281&amp;$C281,'Smelter Look-up'!$J:$J,0)))</f>
        <v>#N/A</v>
      </c>
      <c r="W281" s="263"/>
      <c r="X281" s="263">
        <f t="shared" si="40"/>
        <v>0</v>
      </c>
      <c r="Y281" s="263"/>
      <c r="Z281" s="263"/>
      <c r="AB281" s="265" t="str">
        <f t="shared" si="41"/>
        <v/>
      </c>
    </row>
    <row r="282" spans="1:28" s="264" customFormat="1" ht="20.399999999999999">
      <c r="A282" s="207"/>
      <c r="B282" s="208"/>
      <c r="C282" s="212"/>
      <c r="D282" s="270"/>
      <c r="E282" s="208"/>
      <c r="F282" s="208"/>
      <c r="G282" s="208"/>
      <c r="H282" s="209"/>
      <c r="I282" s="210"/>
      <c r="J282" s="210"/>
      <c r="K282" s="260"/>
      <c r="L282" s="260"/>
      <c r="M282" s="260"/>
      <c r="N282" s="260"/>
      <c r="O282" s="260"/>
      <c r="P282" s="211"/>
      <c r="Q282" s="261"/>
      <c r="R282" s="208" t="str">
        <f ca="1">IF(ISERROR($V282),"",OFFSET('Smelter Look-up'!$C$4,$V282-4,0)&amp;"")</f>
        <v/>
      </c>
      <c r="S282" s="215" t="str">
        <f t="shared" ca="1" si="39"/>
        <v/>
      </c>
      <c r="T282" s="215" t="str">
        <f ca="1">IF(B282="","",IF(ISERROR(MATCH($J282,SorP!$B$1:$B$6230,0)),"",INDIRECT("'SorP'!$A$"&amp;MATCH($J282,SorP!$B$1:$B$6230,0))))</f>
        <v/>
      </c>
      <c r="U282" s="231"/>
      <c r="V282" s="262" t="e">
        <f>IF(C282="",NA(),IF(OR(C282="Smelter not listed",C282="Smelter not yet identified"),MATCH($B282&amp;$D282,'Smelter Look-up'!$J:$J,0),MATCH($B282&amp;$C282,'Smelter Look-up'!$J:$J,0)))</f>
        <v>#N/A</v>
      </c>
      <c r="W282" s="263"/>
      <c r="X282" s="263">
        <f t="shared" si="40"/>
        <v>0</v>
      </c>
      <c r="Y282" s="263"/>
      <c r="Z282" s="263"/>
      <c r="AB282" s="265" t="str">
        <f t="shared" si="41"/>
        <v/>
      </c>
    </row>
    <row r="283" spans="1:28" s="264" customFormat="1" ht="20.399999999999999">
      <c r="A283" s="207"/>
      <c r="B283" s="208"/>
      <c r="C283" s="212"/>
      <c r="D283" s="270"/>
      <c r="E283" s="208"/>
      <c r="F283" s="208"/>
      <c r="G283" s="208"/>
      <c r="H283" s="209"/>
      <c r="I283" s="210"/>
      <c r="J283" s="210"/>
      <c r="K283" s="260"/>
      <c r="L283" s="260"/>
      <c r="M283" s="260"/>
      <c r="N283" s="260"/>
      <c r="O283" s="260"/>
      <c r="P283" s="211"/>
      <c r="Q283" s="261"/>
      <c r="R283" s="208" t="str">
        <f ca="1">IF(ISERROR($V283),"",OFFSET('Smelter Look-up'!$C$4,$V283-4,0)&amp;"")</f>
        <v/>
      </c>
      <c r="S283" s="215" t="str">
        <f t="shared" ca="1" si="39"/>
        <v/>
      </c>
      <c r="T283" s="215" t="str">
        <f ca="1">IF(B283="","",IF(ISERROR(MATCH($J283,SorP!$B$1:$B$6230,0)),"",INDIRECT("'SorP'!$A$"&amp;MATCH($J283,SorP!$B$1:$B$6230,0))))</f>
        <v/>
      </c>
      <c r="U283" s="231"/>
      <c r="V283" s="262" t="e">
        <f>IF(C283="",NA(),IF(OR(C283="Smelter not listed",C283="Smelter not yet identified"),MATCH($B283&amp;$D283,'Smelter Look-up'!$J:$J,0),MATCH($B283&amp;$C283,'Smelter Look-up'!$J:$J,0)))</f>
        <v>#N/A</v>
      </c>
      <c r="W283" s="263"/>
      <c r="X283" s="263">
        <f t="shared" si="40"/>
        <v>0</v>
      </c>
      <c r="Y283" s="263"/>
      <c r="Z283" s="263"/>
      <c r="AB283" s="265" t="str">
        <f t="shared" si="41"/>
        <v/>
      </c>
    </row>
    <row r="284" spans="1:28" s="264" customFormat="1" ht="20.399999999999999">
      <c r="A284" s="207"/>
      <c r="B284" s="208"/>
      <c r="C284" s="212"/>
      <c r="D284" s="270"/>
      <c r="E284" s="208"/>
      <c r="F284" s="208"/>
      <c r="G284" s="208"/>
      <c r="H284" s="209"/>
      <c r="I284" s="210"/>
      <c r="J284" s="210"/>
      <c r="K284" s="260"/>
      <c r="L284" s="260"/>
      <c r="M284" s="260"/>
      <c r="N284" s="260"/>
      <c r="O284" s="260"/>
      <c r="P284" s="211"/>
      <c r="Q284" s="261"/>
      <c r="R284" s="208" t="str">
        <f ca="1">IF(ISERROR($V284),"",OFFSET('Smelter Look-up'!$C$4,$V284-4,0)&amp;"")</f>
        <v/>
      </c>
      <c r="S284" s="215" t="str">
        <f t="shared" ca="1" si="39"/>
        <v/>
      </c>
      <c r="T284" s="215" t="str">
        <f ca="1">IF(B284="","",IF(ISERROR(MATCH($J284,SorP!$B$1:$B$6230,0)),"",INDIRECT("'SorP'!$A$"&amp;MATCH($J284,SorP!$B$1:$B$6230,0))))</f>
        <v/>
      </c>
      <c r="U284" s="231"/>
      <c r="V284" s="262" t="e">
        <f>IF(C284="",NA(),IF(OR(C284="Smelter not listed",C284="Smelter not yet identified"),MATCH($B284&amp;$D284,'Smelter Look-up'!$J:$J,0),MATCH($B284&amp;$C284,'Smelter Look-up'!$J:$J,0)))</f>
        <v>#N/A</v>
      </c>
      <c r="W284" s="263"/>
      <c r="X284" s="263">
        <f t="shared" si="40"/>
        <v>0</v>
      </c>
      <c r="Y284" s="263"/>
      <c r="Z284" s="263"/>
      <c r="AB284" s="265" t="str">
        <f t="shared" si="41"/>
        <v/>
      </c>
    </row>
    <row r="285" spans="1:28" s="264" customFormat="1" ht="20.399999999999999">
      <c r="A285" s="207"/>
      <c r="B285" s="208"/>
      <c r="C285" s="212"/>
      <c r="D285" s="270"/>
      <c r="E285" s="208"/>
      <c r="F285" s="208"/>
      <c r="G285" s="208"/>
      <c r="H285" s="209"/>
      <c r="I285" s="210"/>
      <c r="J285" s="210"/>
      <c r="K285" s="260"/>
      <c r="L285" s="260"/>
      <c r="M285" s="260"/>
      <c r="N285" s="260"/>
      <c r="O285" s="260"/>
      <c r="P285" s="211"/>
      <c r="Q285" s="261"/>
      <c r="R285" s="208" t="str">
        <f ca="1">IF(ISERROR($V285),"",OFFSET('Smelter Look-up'!$C$4,$V285-4,0)&amp;"")</f>
        <v/>
      </c>
      <c r="S285" s="215" t="str">
        <f t="shared" ca="1" si="39"/>
        <v/>
      </c>
      <c r="T285" s="215" t="str">
        <f ca="1">IF(B285="","",IF(ISERROR(MATCH($J285,SorP!$B$1:$B$6230,0)),"",INDIRECT("'SorP'!$A$"&amp;MATCH($J285,SorP!$B$1:$B$6230,0))))</f>
        <v/>
      </c>
      <c r="U285" s="231"/>
      <c r="V285" s="262" t="e">
        <f>IF(C285="",NA(),IF(OR(C285="Smelter not listed",C285="Smelter not yet identified"),MATCH($B285&amp;$D285,'Smelter Look-up'!$J:$J,0),MATCH($B285&amp;$C285,'Smelter Look-up'!$J:$J,0)))</f>
        <v>#N/A</v>
      </c>
      <c r="W285" s="263"/>
      <c r="X285" s="263">
        <f t="shared" si="40"/>
        <v>0</v>
      </c>
      <c r="Y285" s="263"/>
      <c r="Z285" s="263"/>
      <c r="AB285" s="265" t="str">
        <f t="shared" si="41"/>
        <v/>
      </c>
    </row>
    <row r="286" spans="1:28" s="264" customFormat="1" ht="20.399999999999999">
      <c r="A286" s="207"/>
      <c r="B286" s="208"/>
      <c r="C286" s="212"/>
      <c r="D286" s="270"/>
      <c r="E286" s="208"/>
      <c r="F286" s="208"/>
      <c r="G286" s="208"/>
      <c r="H286" s="209"/>
      <c r="I286" s="210"/>
      <c r="J286" s="210"/>
      <c r="K286" s="260"/>
      <c r="L286" s="260"/>
      <c r="M286" s="260"/>
      <c r="N286" s="260"/>
      <c r="O286" s="260"/>
      <c r="P286" s="211"/>
      <c r="Q286" s="261"/>
      <c r="R286" s="208" t="str">
        <f ca="1">IF(ISERROR($V286),"",OFFSET('Smelter Look-up'!$C$4,$V286-4,0)&amp;"")</f>
        <v/>
      </c>
      <c r="S286" s="215" t="str">
        <f t="shared" ca="1" si="39"/>
        <v/>
      </c>
      <c r="T286" s="215" t="str">
        <f ca="1">IF(B286="","",IF(ISERROR(MATCH($J286,SorP!$B$1:$B$6230,0)),"",INDIRECT("'SorP'!$A$"&amp;MATCH($J286,SorP!$B$1:$B$6230,0))))</f>
        <v/>
      </c>
      <c r="U286" s="231"/>
      <c r="V286" s="262" t="e">
        <f>IF(C286="",NA(),IF(OR(C286="Smelter not listed",C286="Smelter not yet identified"),MATCH($B286&amp;$D286,'Smelter Look-up'!$J:$J,0),MATCH($B286&amp;$C286,'Smelter Look-up'!$J:$J,0)))</f>
        <v>#N/A</v>
      </c>
      <c r="W286" s="263"/>
      <c r="X286" s="263">
        <f t="shared" si="40"/>
        <v>0</v>
      </c>
      <c r="Y286" s="263"/>
      <c r="Z286" s="263"/>
      <c r="AB286" s="265" t="str">
        <f t="shared" si="41"/>
        <v/>
      </c>
    </row>
    <row r="287" spans="1:28" s="264" customFormat="1" ht="20.399999999999999">
      <c r="A287" s="207"/>
      <c r="B287" s="208"/>
      <c r="C287" s="212"/>
      <c r="D287" s="270"/>
      <c r="E287" s="208"/>
      <c r="F287" s="208"/>
      <c r="G287" s="208"/>
      <c r="H287" s="209"/>
      <c r="I287" s="210"/>
      <c r="J287" s="210"/>
      <c r="K287" s="260"/>
      <c r="L287" s="260"/>
      <c r="M287" s="260"/>
      <c r="N287" s="260"/>
      <c r="O287" s="260"/>
      <c r="P287" s="211"/>
      <c r="Q287" s="261"/>
      <c r="R287" s="208" t="str">
        <f ca="1">IF(ISERROR($V287),"",OFFSET('Smelter Look-up'!$C$4,$V287-4,0)&amp;"")</f>
        <v/>
      </c>
      <c r="S287" s="215" t="str">
        <f t="shared" ca="1" si="39"/>
        <v/>
      </c>
      <c r="T287" s="215" t="str">
        <f ca="1">IF(B287="","",IF(ISERROR(MATCH($J287,SorP!$B$1:$B$6230,0)),"",INDIRECT("'SorP'!$A$"&amp;MATCH($J287,SorP!$B$1:$B$6230,0))))</f>
        <v/>
      </c>
      <c r="U287" s="231"/>
      <c r="V287" s="262" t="e">
        <f>IF(C287="",NA(),IF(OR(C287="Smelter not listed",C287="Smelter not yet identified"),MATCH($B287&amp;$D287,'Smelter Look-up'!$J:$J,0),MATCH($B287&amp;$C287,'Smelter Look-up'!$J:$J,0)))</f>
        <v>#N/A</v>
      </c>
      <c r="W287" s="263"/>
      <c r="X287" s="263">
        <f t="shared" si="40"/>
        <v>0</v>
      </c>
      <c r="Y287" s="263"/>
      <c r="Z287" s="263"/>
      <c r="AB287" s="265" t="str">
        <f t="shared" si="41"/>
        <v/>
      </c>
    </row>
    <row r="288" spans="1:28" s="264" customFormat="1" ht="20.399999999999999">
      <c r="A288" s="207"/>
      <c r="B288" s="208"/>
      <c r="C288" s="212"/>
      <c r="D288" s="270"/>
      <c r="E288" s="208"/>
      <c r="F288" s="208"/>
      <c r="G288" s="208"/>
      <c r="H288" s="209"/>
      <c r="I288" s="210"/>
      <c r="J288" s="210"/>
      <c r="K288" s="260"/>
      <c r="L288" s="260"/>
      <c r="M288" s="260"/>
      <c r="N288" s="260"/>
      <c r="O288" s="260"/>
      <c r="P288" s="211"/>
      <c r="Q288" s="261"/>
      <c r="R288" s="208" t="str">
        <f ca="1">IF(ISERROR($V288),"",OFFSET('Smelter Look-up'!$C$4,$V288-4,0)&amp;"")</f>
        <v/>
      </c>
      <c r="S288" s="215" t="str">
        <f t="shared" ca="1" si="39"/>
        <v/>
      </c>
      <c r="T288" s="215" t="str">
        <f ca="1">IF(B288="","",IF(ISERROR(MATCH($J288,SorP!$B$1:$B$6230,0)),"",INDIRECT("'SorP'!$A$"&amp;MATCH($J288,SorP!$B$1:$B$6230,0))))</f>
        <v/>
      </c>
      <c r="U288" s="231"/>
      <c r="V288" s="262" t="e">
        <f>IF(C288="",NA(),IF(OR(C288="Smelter not listed",C288="Smelter not yet identified"),MATCH($B288&amp;$D288,'Smelter Look-up'!$J:$J,0),MATCH($B288&amp;$C288,'Smelter Look-up'!$J:$J,0)))</f>
        <v>#N/A</v>
      </c>
      <c r="W288" s="263"/>
      <c r="X288" s="263">
        <f t="shared" si="40"/>
        <v>0</v>
      </c>
      <c r="Y288" s="263"/>
      <c r="Z288" s="263"/>
      <c r="AB288" s="265" t="str">
        <f t="shared" si="41"/>
        <v/>
      </c>
    </row>
    <row r="289" spans="1:28" s="264" customFormat="1" ht="20.399999999999999">
      <c r="A289" s="207"/>
      <c r="B289" s="208"/>
      <c r="C289" s="212"/>
      <c r="D289" s="270"/>
      <c r="E289" s="208"/>
      <c r="F289" s="208"/>
      <c r="G289" s="208"/>
      <c r="H289" s="209"/>
      <c r="I289" s="210"/>
      <c r="J289" s="210"/>
      <c r="K289" s="260"/>
      <c r="L289" s="260"/>
      <c r="M289" s="260"/>
      <c r="N289" s="260"/>
      <c r="O289" s="260"/>
      <c r="P289" s="211"/>
      <c r="Q289" s="261"/>
      <c r="R289" s="208" t="str">
        <f ca="1">IF(ISERROR($V289),"",OFFSET('Smelter Look-up'!$C$4,$V289-4,0)&amp;"")</f>
        <v/>
      </c>
      <c r="S289" s="215" t="str">
        <f t="shared" ca="1" si="39"/>
        <v/>
      </c>
      <c r="T289" s="215" t="str">
        <f ca="1">IF(B289="","",IF(ISERROR(MATCH($J289,SorP!$B$1:$B$6230,0)),"",INDIRECT("'SorP'!$A$"&amp;MATCH($J289,SorP!$B$1:$B$6230,0))))</f>
        <v/>
      </c>
      <c r="U289" s="231"/>
      <c r="V289" s="262" t="e">
        <f>IF(C289="",NA(),IF(OR(C289="Smelter not listed",C289="Smelter not yet identified"),MATCH($B289&amp;$D289,'Smelter Look-up'!$J:$J,0),MATCH($B289&amp;$C289,'Smelter Look-up'!$J:$J,0)))</f>
        <v>#N/A</v>
      </c>
      <c r="W289" s="263"/>
      <c r="X289" s="263">
        <f t="shared" si="40"/>
        <v>0</v>
      </c>
      <c r="Y289" s="263"/>
      <c r="Z289" s="263"/>
      <c r="AB289" s="265" t="str">
        <f t="shared" si="41"/>
        <v/>
      </c>
    </row>
    <row r="290" spans="1:28" s="264" customFormat="1" ht="20.399999999999999">
      <c r="A290" s="207"/>
      <c r="B290" s="208"/>
      <c r="C290" s="212"/>
      <c r="D290" s="270"/>
      <c r="E290" s="208"/>
      <c r="F290" s="208"/>
      <c r="G290" s="208"/>
      <c r="H290" s="209"/>
      <c r="I290" s="210"/>
      <c r="J290" s="210"/>
      <c r="K290" s="260"/>
      <c r="L290" s="260"/>
      <c r="M290" s="260"/>
      <c r="N290" s="260"/>
      <c r="O290" s="260"/>
      <c r="P290" s="211"/>
      <c r="Q290" s="261"/>
      <c r="R290" s="208" t="str">
        <f ca="1">IF(ISERROR($V290),"",OFFSET('Smelter Look-up'!$C$4,$V290-4,0)&amp;"")</f>
        <v/>
      </c>
      <c r="S290" s="215" t="str">
        <f t="shared" ca="1" si="39"/>
        <v/>
      </c>
      <c r="T290" s="215" t="str">
        <f ca="1">IF(B290="","",IF(ISERROR(MATCH($J290,SorP!$B$1:$B$6230,0)),"",INDIRECT("'SorP'!$A$"&amp;MATCH($J290,SorP!$B$1:$B$6230,0))))</f>
        <v/>
      </c>
      <c r="U290" s="231"/>
      <c r="V290" s="262" t="e">
        <f>IF(C290="",NA(),IF(OR(C290="Smelter not listed",C290="Smelter not yet identified"),MATCH($B290&amp;$D290,'Smelter Look-up'!$J:$J,0),MATCH($B290&amp;$C290,'Smelter Look-up'!$J:$J,0)))</f>
        <v>#N/A</v>
      </c>
      <c r="W290" s="263"/>
      <c r="X290" s="263">
        <f t="shared" si="40"/>
        <v>0</v>
      </c>
      <c r="Y290" s="263"/>
      <c r="Z290" s="263"/>
      <c r="AB290" s="265" t="str">
        <f t="shared" si="41"/>
        <v/>
      </c>
    </row>
    <row r="291" spans="1:28" s="264" customFormat="1" ht="20.399999999999999">
      <c r="A291" s="207"/>
      <c r="B291" s="208"/>
      <c r="C291" s="212"/>
      <c r="D291" s="270"/>
      <c r="E291" s="208"/>
      <c r="F291" s="208"/>
      <c r="G291" s="208"/>
      <c r="H291" s="209"/>
      <c r="I291" s="210"/>
      <c r="J291" s="210"/>
      <c r="K291" s="260"/>
      <c r="L291" s="260"/>
      <c r="M291" s="260"/>
      <c r="N291" s="260"/>
      <c r="O291" s="260"/>
      <c r="P291" s="211"/>
      <c r="Q291" s="261"/>
      <c r="R291" s="208" t="str">
        <f ca="1">IF(ISERROR($V291),"",OFFSET('Smelter Look-up'!$C$4,$V291-4,0)&amp;"")</f>
        <v/>
      </c>
      <c r="S291" s="215" t="str">
        <f t="shared" ca="1" si="39"/>
        <v/>
      </c>
      <c r="T291" s="215" t="str">
        <f ca="1">IF(B291="","",IF(ISERROR(MATCH($J291,SorP!$B$1:$B$6230,0)),"",INDIRECT("'SorP'!$A$"&amp;MATCH($J291,SorP!$B$1:$B$6230,0))))</f>
        <v/>
      </c>
      <c r="U291" s="231"/>
      <c r="V291" s="262" t="e">
        <f>IF(C291="",NA(),IF(OR(C291="Smelter not listed",C291="Smelter not yet identified"),MATCH($B291&amp;$D291,'Smelter Look-up'!$J:$J,0),MATCH($B291&amp;$C291,'Smelter Look-up'!$J:$J,0)))</f>
        <v>#N/A</v>
      </c>
      <c r="W291" s="263"/>
      <c r="X291" s="263">
        <f t="shared" si="40"/>
        <v>0</v>
      </c>
      <c r="Y291" s="263"/>
      <c r="Z291" s="263"/>
      <c r="AB291" s="265" t="str">
        <f t="shared" si="41"/>
        <v/>
      </c>
    </row>
    <row r="292" spans="1:28" s="264" customFormat="1" ht="20.399999999999999">
      <c r="A292" s="207"/>
      <c r="B292" s="208"/>
      <c r="C292" s="212"/>
      <c r="D292" s="270"/>
      <c r="E292" s="208"/>
      <c r="F292" s="208"/>
      <c r="G292" s="208"/>
      <c r="H292" s="209"/>
      <c r="I292" s="210"/>
      <c r="J292" s="210"/>
      <c r="K292" s="260"/>
      <c r="L292" s="260"/>
      <c r="M292" s="260"/>
      <c r="N292" s="260"/>
      <c r="O292" s="260"/>
      <c r="P292" s="211"/>
      <c r="Q292" s="261"/>
      <c r="R292" s="208" t="str">
        <f ca="1">IF(ISERROR($V292),"",OFFSET('Smelter Look-up'!$C$4,$V292-4,0)&amp;"")</f>
        <v/>
      </c>
      <c r="S292" s="215" t="str">
        <f t="shared" ca="1" si="39"/>
        <v/>
      </c>
      <c r="T292" s="215" t="str">
        <f ca="1">IF(B292="","",IF(ISERROR(MATCH($J292,SorP!$B$1:$B$6230,0)),"",INDIRECT("'SorP'!$A$"&amp;MATCH($J292,SorP!$B$1:$B$6230,0))))</f>
        <v/>
      </c>
      <c r="U292" s="231"/>
      <c r="V292" s="262" t="e">
        <f>IF(C292="",NA(),IF(OR(C292="Smelter not listed",C292="Smelter not yet identified"),MATCH($B292&amp;$D292,'Smelter Look-up'!$J:$J,0),MATCH($B292&amp;$C292,'Smelter Look-up'!$J:$J,0)))</f>
        <v>#N/A</v>
      </c>
      <c r="W292" s="263"/>
      <c r="X292" s="263">
        <f t="shared" si="40"/>
        <v>0</v>
      </c>
      <c r="Y292" s="263"/>
      <c r="Z292" s="263"/>
      <c r="AB292" s="265" t="str">
        <f t="shared" si="41"/>
        <v/>
      </c>
    </row>
    <row r="293" spans="1:28" s="264" customFormat="1" ht="20.399999999999999">
      <c r="A293" s="207"/>
      <c r="B293" s="208"/>
      <c r="C293" s="212"/>
      <c r="D293" s="270"/>
      <c r="E293" s="208"/>
      <c r="F293" s="208"/>
      <c r="G293" s="208"/>
      <c r="H293" s="209"/>
      <c r="I293" s="210"/>
      <c r="J293" s="210"/>
      <c r="K293" s="260"/>
      <c r="L293" s="260"/>
      <c r="M293" s="260"/>
      <c r="N293" s="260"/>
      <c r="O293" s="260"/>
      <c r="P293" s="211"/>
      <c r="Q293" s="261"/>
      <c r="R293" s="208" t="str">
        <f ca="1">IF(ISERROR($V293),"",OFFSET('Smelter Look-up'!$C$4,$V293-4,0)&amp;"")</f>
        <v/>
      </c>
      <c r="S293" s="215" t="str">
        <f t="shared" ca="1" si="39"/>
        <v/>
      </c>
      <c r="T293" s="215" t="str">
        <f ca="1">IF(B293="","",IF(ISERROR(MATCH($J293,SorP!$B$1:$B$6230,0)),"",INDIRECT("'SorP'!$A$"&amp;MATCH($J293,SorP!$B$1:$B$6230,0))))</f>
        <v/>
      </c>
      <c r="U293" s="231"/>
      <c r="V293" s="262" t="e">
        <f>IF(C293="",NA(),IF(OR(C293="Smelter not listed",C293="Smelter not yet identified"),MATCH($B293&amp;$D293,'Smelter Look-up'!$J:$J,0),MATCH($B293&amp;$C293,'Smelter Look-up'!$J:$J,0)))</f>
        <v>#N/A</v>
      </c>
      <c r="W293" s="263"/>
      <c r="X293" s="263">
        <f t="shared" si="40"/>
        <v>0</v>
      </c>
      <c r="Y293" s="263"/>
      <c r="Z293" s="263"/>
      <c r="AB293" s="265" t="str">
        <f t="shared" si="41"/>
        <v/>
      </c>
    </row>
    <row r="294" spans="1:28" s="264" customFormat="1" ht="20.399999999999999">
      <c r="A294" s="207"/>
      <c r="B294" s="208"/>
      <c r="C294" s="212"/>
      <c r="D294" s="270"/>
      <c r="E294" s="208"/>
      <c r="F294" s="208"/>
      <c r="G294" s="208"/>
      <c r="H294" s="209"/>
      <c r="I294" s="210"/>
      <c r="J294" s="210"/>
      <c r="K294" s="260"/>
      <c r="L294" s="260"/>
      <c r="M294" s="260"/>
      <c r="N294" s="260"/>
      <c r="O294" s="260"/>
      <c r="P294" s="211"/>
      <c r="Q294" s="261"/>
      <c r="R294" s="208" t="str">
        <f ca="1">IF(ISERROR($V294),"",OFFSET('Smelter Look-up'!$C$4,$V294-4,0)&amp;"")</f>
        <v/>
      </c>
      <c r="S294" s="215" t="str">
        <f t="shared" ref="S294:S324" ca="1" si="42">IF(B294="","",IF(ISERROR(MATCH($E294,CL,0)),"Unknown",INDIRECT("'C'!$A$"&amp;MATCH($E294,CL,0)+1)))</f>
        <v/>
      </c>
      <c r="T294" s="215" t="str">
        <f ca="1">IF(B294="","",IF(ISERROR(MATCH($J294,SorP!$B$1:$B$6230,0)),"",INDIRECT("'SorP'!$A$"&amp;MATCH($J294,SorP!$B$1:$B$6230,0))))</f>
        <v/>
      </c>
      <c r="U294" s="231"/>
      <c r="V294" s="262" t="e">
        <f>IF(C294="",NA(),IF(OR(C294="Smelter not listed",C294="Smelter not yet identified"),MATCH($B294&amp;$D294,'Smelter Look-up'!$J:$J,0),MATCH($B294&amp;$C294,'Smelter Look-up'!$J:$J,0)))</f>
        <v>#N/A</v>
      </c>
      <c r="W294" s="263"/>
      <c r="X294" s="263">
        <f t="shared" ref="X294:X324" si="43">IF(AND(C294="Smelter not listed",OR(LEN(D294)=0,LEN(E294)=0)),1,0)</f>
        <v>0</v>
      </c>
      <c r="Y294" s="263"/>
      <c r="Z294" s="263"/>
      <c r="AB294" s="265" t="str">
        <f t="shared" ref="AB294:AB324" si="44">B294&amp;C294</f>
        <v/>
      </c>
    </row>
    <row r="295" spans="1:28" s="264" customFormat="1" ht="20.399999999999999">
      <c r="A295" s="207"/>
      <c r="B295" s="208"/>
      <c r="C295" s="212"/>
      <c r="D295" s="270"/>
      <c r="E295" s="208"/>
      <c r="F295" s="208"/>
      <c r="G295" s="208"/>
      <c r="H295" s="209"/>
      <c r="I295" s="210"/>
      <c r="J295" s="210"/>
      <c r="K295" s="260"/>
      <c r="L295" s="260"/>
      <c r="M295" s="260"/>
      <c r="N295" s="260"/>
      <c r="O295" s="260"/>
      <c r="P295" s="211"/>
      <c r="Q295" s="261"/>
      <c r="R295" s="208" t="str">
        <f ca="1">IF(ISERROR($V295),"",OFFSET('Smelter Look-up'!$C$4,$V295-4,0)&amp;"")</f>
        <v/>
      </c>
      <c r="S295" s="215" t="str">
        <f t="shared" ca="1" si="42"/>
        <v/>
      </c>
      <c r="T295" s="215" t="str">
        <f ca="1">IF(B295="","",IF(ISERROR(MATCH($J295,SorP!$B$1:$B$6230,0)),"",INDIRECT("'SorP'!$A$"&amp;MATCH($J295,SorP!$B$1:$B$6230,0))))</f>
        <v/>
      </c>
      <c r="U295" s="231"/>
      <c r="V295" s="262" t="e">
        <f>IF(C295="",NA(),IF(OR(C295="Smelter not listed",C295="Smelter not yet identified"),MATCH($B295&amp;$D295,'Smelter Look-up'!$J:$J,0),MATCH($B295&amp;$C295,'Smelter Look-up'!$J:$J,0)))</f>
        <v>#N/A</v>
      </c>
      <c r="W295" s="263"/>
      <c r="X295" s="263">
        <f t="shared" si="43"/>
        <v>0</v>
      </c>
      <c r="Y295" s="263"/>
      <c r="Z295" s="263"/>
      <c r="AB295" s="265" t="str">
        <f t="shared" si="44"/>
        <v/>
      </c>
    </row>
    <row r="296" spans="1:28" s="264" customFormat="1" ht="20.399999999999999">
      <c r="A296" s="207"/>
      <c r="B296" s="208"/>
      <c r="C296" s="212"/>
      <c r="D296" s="270"/>
      <c r="E296" s="208"/>
      <c r="F296" s="208"/>
      <c r="G296" s="208"/>
      <c r="H296" s="209"/>
      <c r="I296" s="210"/>
      <c r="J296" s="210"/>
      <c r="K296" s="260"/>
      <c r="L296" s="260"/>
      <c r="M296" s="260"/>
      <c r="N296" s="260"/>
      <c r="O296" s="260"/>
      <c r="P296" s="211"/>
      <c r="Q296" s="261"/>
      <c r="R296" s="208" t="str">
        <f ca="1">IF(ISERROR($V296),"",OFFSET('Smelter Look-up'!$C$4,$V296-4,0)&amp;"")</f>
        <v/>
      </c>
      <c r="S296" s="215" t="str">
        <f t="shared" ca="1" si="42"/>
        <v/>
      </c>
      <c r="T296" s="215" t="str">
        <f ca="1">IF(B296="","",IF(ISERROR(MATCH($J296,SorP!$B$1:$B$6230,0)),"",INDIRECT("'SorP'!$A$"&amp;MATCH($J296,SorP!$B$1:$B$6230,0))))</f>
        <v/>
      </c>
      <c r="U296" s="231"/>
      <c r="V296" s="262" t="e">
        <f>IF(C296="",NA(),IF(OR(C296="Smelter not listed",C296="Smelter not yet identified"),MATCH($B296&amp;$D296,'Smelter Look-up'!$J:$J,0),MATCH($B296&amp;$C296,'Smelter Look-up'!$J:$J,0)))</f>
        <v>#N/A</v>
      </c>
      <c r="W296" s="263"/>
      <c r="X296" s="263">
        <f t="shared" si="43"/>
        <v>0</v>
      </c>
      <c r="Y296" s="263"/>
      <c r="Z296" s="263"/>
      <c r="AB296" s="265" t="str">
        <f t="shared" si="44"/>
        <v/>
      </c>
    </row>
    <row r="297" spans="1:28" s="264" customFormat="1" ht="20.399999999999999">
      <c r="A297" s="207"/>
      <c r="B297" s="208"/>
      <c r="C297" s="212"/>
      <c r="D297" s="270"/>
      <c r="E297" s="208"/>
      <c r="F297" s="208"/>
      <c r="G297" s="208"/>
      <c r="H297" s="209"/>
      <c r="I297" s="210"/>
      <c r="J297" s="210"/>
      <c r="K297" s="260"/>
      <c r="L297" s="260"/>
      <c r="M297" s="260"/>
      <c r="N297" s="260"/>
      <c r="O297" s="260"/>
      <c r="P297" s="211"/>
      <c r="Q297" s="261"/>
      <c r="R297" s="208" t="str">
        <f ca="1">IF(ISERROR($V297),"",OFFSET('Smelter Look-up'!$C$4,$V297-4,0)&amp;"")</f>
        <v/>
      </c>
      <c r="S297" s="215" t="str">
        <f t="shared" ca="1" si="42"/>
        <v/>
      </c>
      <c r="T297" s="215" t="str">
        <f ca="1">IF(B297="","",IF(ISERROR(MATCH($J297,SorP!$B$1:$B$6230,0)),"",INDIRECT("'SorP'!$A$"&amp;MATCH($J297,SorP!$B$1:$B$6230,0))))</f>
        <v/>
      </c>
      <c r="U297" s="231"/>
      <c r="V297" s="262" t="e">
        <f>IF(C297="",NA(),IF(OR(C297="Smelter not listed",C297="Smelter not yet identified"),MATCH($B297&amp;$D297,'Smelter Look-up'!$J:$J,0),MATCH($B297&amp;$C297,'Smelter Look-up'!$J:$J,0)))</f>
        <v>#N/A</v>
      </c>
      <c r="W297" s="263"/>
      <c r="X297" s="263">
        <f t="shared" si="43"/>
        <v>0</v>
      </c>
      <c r="Y297" s="263"/>
      <c r="Z297" s="263"/>
      <c r="AB297" s="265" t="str">
        <f t="shared" si="44"/>
        <v/>
      </c>
    </row>
    <row r="298" spans="1:28" s="264" customFormat="1" ht="20.399999999999999">
      <c r="A298" s="207"/>
      <c r="B298" s="208"/>
      <c r="C298" s="212"/>
      <c r="D298" s="270"/>
      <c r="E298" s="208"/>
      <c r="F298" s="208"/>
      <c r="G298" s="208"/>
      <c r="H298" s="209"/>
      <c r="I298" s="210"/>
      <c r="J298" s="210"/>
      <c r="K298" s="260"/>
      <c r="L298" s="260"/>
      <c r="M298" s="260"/>
      <c r="N298" s="260"/>
      <c r="O298" s="260"/>
      <c r="P298" s="211"/>
      <c r="Q298" s="261"/>
      <c r="R298" s="208" t="str">
        <f ca="1">IF(ISERROR($V298),"",OFFSET('Smelter Look-up'!$C$4,$V298-4,0)&amp;"")</f>
        <v/>
      </c>
      <c r="S298" s="215" t="str">
        <f t="shared" ca="1" si="42"/>
        <v/>
      </c>
      <c r="T298" s="215" t="str">
        <f ca="1">IF(B298="","",IF(ISERROR(MATCH($J298,SorP!$B$1:$B$6230,0)),"",INDIRECT("'SorP'!$A$"&amp;MATCH($J298,SorP!$B$1:$B$6230,0))))</f>
        <v/>
      </c>
      <c r="U298" s="231"/>
      <c r="V298" s="262" t="e">
        <f>IF(C298="",NA(),IF(OR(C298="Smelter not listed",C298="Smelter not yet identified"),MATCH($B298&amp;$D298,'Smelter Look-up'!$J:$J,0),MATCH($B298&amp;$C298,'Smelter Look-up'!$J:$J,0)))</f>
        <v>#N/A</v>
      </c>
      <c r="W298" s="263"/>
      <c r="X298" s="263">
        <f t="shared" si="43"/>
        <v>0</v>
      </c>
      <c r="Y298" s="263"/>
      <c r="Z298" s="263"/>
      <c r="AB298" s="265" t="str">
        <f t="shared" si="44"/>
        <v/>
      </c>
    </row>
    <row r="299" spans="1:28" s="264" customFormat="1" ht="20.399999999999999">
      <c r="A299" s="207"/>
      <c r="B299" s="208"/>
      <c r="C299" s="212"/>
      <c r="D299" s="270"/>
      <c r="E299" s="208"/>
      <c r="F299" s="208"/>
      <c r="G299" s="208"/>
      <c r="H299" s="209"/>
      <c r="I299" s="210"/>
      <c r="J299" s="210"/>
      <c r="K299" s="260"/>
      <c r="L299" s="260"/>
      <c r="M299" s="260"/>
      <c r="N299" s="260"/>
      <c r="O299" s="260"/>
      <c r="P299" s="211"/>
      <c r="Q299" s="261"/>
      <c r="R299" s="208" t="str">
        <f ca="1">IF(ISERROR($V299),"",OFFSET('Smelter Look-up'!$C$4,$V299-4,0)&amp;"")</f>
        <v/>
      </c>
      <c r="S299" s="215" t="str">
        <f t="shared" ca="1" si="42"/>
        <v/>
      </c>
      <c r="T299" s="215" t="str">
        <f ca="1">IF(B299="","",IF(ISERROR(MATCH($J299,SorP!$B$1:$B$6230,0)),"",INDIRECT("'SorP'!$A$"&amp;MATCH($J299,SorP!$B$1:$B$6230,0))))</f>
        <v/>
      </c>
      <c r="U299" s="231"/>
      <c r="V299" s="262" t="e">
        <f>IF(C299="",NA(),IF(OR(C299="Smelter not listed",C299="Smelter not yet identified"),MATCH($B299&amp;$D299,'Smelter Look-up'!$J:$J,0),MATCH($B299&amp;$C299,'Smelter Look-up'!$J:$J,0)))</f>
        <v>#N/A</v>
      </c>
      <c r="W299" s="263"/>
      <c r="X299" s="263">
        <f t="shared" si="43"/>
        <v>0</v>
      </c>
      <c r="Y299" s="263"/>
      <c r="Z299" s="263"/>
      <c r="AB299" s="265" t="str">
        <f t="shared" si="44"/>
        <v/>
      </c>
    </row>
    <row r="300" spans="1:28" s="264" customFormat="1" ht="20.399999999999999">
      <c r="A300" s="207"/>
      <c r="B300" s="208"/>
      <c r="C300" s="212"/>
      <c r="D300" s="270"/>
      <c r="E300" s="208"/>
      <c r="F300" s="208"/>
      <c r="G300" s="208"/>
      <c r="H300" s="209"/>
      <c r="I300" s="210"/>
      <c r="J300" s="210"/>
      <c r="K300" s="260"/>
      <c r="L300" s="260"/>
      <c r="M300" s="260"/>
      <c r="N300" s="260"/>
      <c r="O300" s="260"/>
      <c r="P300" s="211"/>
      <c r="Q300" s="261"/>
      <c r="R300" s="208" t="str">
        <f ca="1">IF(ISERROR($V300),"",OFFSET('Smelter Look-up'!$C$4,$V300-4,0)&amp;"")</f>
        <v/>
      </c>
      <c r="S300" s="215" t="str">
        <f t="shared" ca="1" si="42"/>
        <v/>
      </c>
      <c r="T300" s="215" t="str">
        <f ca="1">IF(B300="","",IF(ISERROR(MATCH($J300,SorP!$B$1:$B$6230,0)),"",INDIRECT("'SorP'!$A$"&amp;MATCH($J300,SorP!$B$1:$B$6230,0))))</f>
        <v/>
      </c>
      <c r="U300" s="231"/>
      <c r="V300" s="262" t="e">
        <f>IF(C300="",NA(),IF(OR(C300="Smelter not listed",C300="Smelter not yet identified"),MATCH($B300&amp;$D300,'Smelter Look-up'!$J:$J,0),MATCH($B300&amp;$C300,'Smelter Look-up'!$J:$J,0)))</f>
        <v>#N/A</v>
      </c>
      <c r="W300" s="263"/>
      <c r="X300" s="263">
        <f t="shared" si="43"/>
        <v>0</v>
      </c>
      <c r="Y300" s="263"/>
      <c r="Z300" s="263"/>
      <c r="AB300" s="265" t="str">
        <f t="shared" si="44"/>
        <v/>
      </c>
    </row>
    <row r="301" spans="1:28" s="264" customFormat="1" ht="20.399999999999999">
      <c r="A301" s="207"/>
      <c r="B301" s="208"/>
      <c r="C301" s="212"/>
      <c r="D301" s="270"/>
      <c r="E301" s="208"/>
      <c r="F301" s="208"/>
      <c r="G301" s="208"/>
      <c r="H301" s="209"/>
      <c r="I301" s="210"/>
      <c r="J301" s="210"/>
      <c r="K301" s="260"/>
      <c r="L301" s="260"/>
      <c r="M301" s="260"/>
      <c r="N301" s="260"/>
      <c r="O301" s="260"/>
      <c r="P301" s="211"/>
      <c r="Q301" s="261"/>
      <c r="R301" s="208" t="str">
        <f ca="1">IF(ISERROR($V301),"",OFFSET('Smelter Look-up'!$C$4,$V301-4,0)&amp;"")</f>
        <v/>
      </c>
      <c r="S301" s="215" t="str">
        <f t="shared" ca="1" si="42"/>
        <v/>
      </c>
      <c r="T301" s="215" t="str">
        <f ca="1">IF(B301="","",IF(ISERROR(MATCH($J301,SorP!$B$1:$B$6230,0)),"",INDIRECT("'SorP'!$A$"&amp;MATCH($J301,SorP!$B$1:$B$6230,0))))</f>
        <v/>
      </c>
      <c r="U301" s="231"/>
      <c r="V301" s="262" t="e">
        <f>IF(C301="",NA(),IF(OR(C301="Smelter not listed",C301="Smelter not yet identified"),MATCH($B301&amp;$D301,'Smelter Look-up'!$J:$J,0),MATCH($B301&amp;$C301,'Smelter Look-up'!$J:$J,0)))</f>
        <v>#N/A</v>
      </c>
      <c r="W301" s="263"/>
      <c r="X301" s="263">
        <f t="shared" si="43"/>
        <v>0</v>
      </c>
      <c r="Y301" s="263"/>
      <c r="Z301" s="263"/>
      <c r="AB301" s="265" t="str">
        <f t="shared" si="44"/>
        <v/>
      </c>
    </row>
    <row r="302" spans="1:28" s="264" customFormat="1" ht="20.399999999999999">
      <c r="A302" s="207"/>
      <c r="B302" s="208"/>
      <c r="C302" s="212"/>
      <c r="D302" s="270"/>
      <c r="E302" s="208"/>
      <c r="F302" s="208"/>
      <c r="G302" s="208"/>
      <c r="H302" s="209"/>
      <c r="I302" s="210"/>
      <c r="J302" s="210"/>
      <c r="K302" s="260"/>
      <c r="L302" s="260"/>
      <c r="M302" s="260"/>
      <c r="N302" s="260"/>
      <c r="O302" s="260"/>
      <c r="P302" s="211"/>
      <c r="Q302" s="261"/>
      <c r="R302" s="208" t="str">
        <f ca="1">IF(ISERROR($V302),"",OFFSET('Smelter Look-up'!$C$4,$V302-4,0)&amp;"")</f>
        <v/>
      </c>
      <c r="S302" s="215" t="str">
        <f t="shared" ca="1" si="42"/>
        <v/>
      </c>
      <c r="T302" s="215" t="str">
        <f ca="1">IF(B302="","",IF(ISERROR(MATCH($J302,SorP!$B$1:$B$6230,0)),"",INDIRECT("'SorP'!$A$"&amp;MATCH($J302,SorP!$B$1:$B$6230,0))))</f>
        <v/>
      </c>
      <c r="U302" s="231"/>
      <c r="V302" s="262" t="e">
        <f>IF(C302="",NA(),IF(OR(C302="Smelter not listed",C302="Smelter not yet identified"),MATCH($B302&amp;$D302,'Smelter Look-up'!$J:$J,0),MATCH($B302&amp;$C302,'Smelter Look-up'!$J:$J,0)))</f>
        <v>#N/A</v>
      </c>
      <c r="W302" s="263"/>
      <c r="X302" s="263">
        <f t="shared" si="43"/>
        <v>0</v>
      </c>
      <c r="Y302" s="263"/>
      <c r="Z302" s="263"/>
      <c r="AB302" s="265" t="str">
        <f t="shared" si="44"/>
        <v/>
      </c>
    </row>
    <row r="303" spans="1:28" s="264" customFormat="1" ht="20.399999999999999">
      <c r="A303" s="207"/>
      <c r="B303" s="208"/>
      <c r="C303" s="212"/>
      <c r="D303" s="270"/>
      <c r="E303" s="208"/>
      <c r="F303" s="208"/>
      <c r="G303" s="208"/>
      <c r="H303" s="209"/>
      <c r="I303" s="210"/>
      <c r="J303" s="210"/>
      <c r="K303" s="260"/>
      <c r="L303" s="260"/>
      <c r="M303" s="260"/>
      <c r="N303" s="260"/>
      <c r="O303" s="260"/>
      <c r="P303" s="211"/>
      <c r="Q303" s="261"/>
      <c r="R303" s="208" t="str">
        <f ca="1">IF(ISERROR($V303),"",OFFSET('Smelter Look-up'!$C$4,$V303-4,0)&amp;"")</f>
        <v/>
      </c>
      <c r="S303" s="215" t="str">
        <f t="shared" ca="1" si="42"/>
        <v/>
      </c>
      <c r="T303" s="215" t="str">
        <f ca="1">IF(B303="","",IF(ISERROR(MATCH($J303,SorP!$B$1:$B$6230,0)),"",INDIRECT("'SorP'!$A$"&amp;MATCH($J303,SorP!$B$1:$B$6230,0))))</f>
        <v/>
      </c>
      <c r="U303" s="231"/>
      <c r="V303" s="262" t="e">
        <f>IF(C303="",NA(),IF(OR(C303="Smelter not listed",C303="Smelter not yet identified"),MATCH($B303&amp;$D303,'Smelter Look-up'!$J:$J,0),MATCH($B303&amp;$C303,'Smelter Look-up'!$J:$J,0)))</f>
        <v>#N/A</v>
      </c>
      <c r="W303" s="263"/>
      <c r="X303" s="263">
        <f t="shared" si="43"/>
        <v>0</v>
      </c>
      <c r="Y303" s="263"/>
      <c r="Z303" s="263"/>
      <c r="AB303" s="265" t="str">
        <f t="shared" si="44"/>
        <v/>
      </c>
    </row>
    <row r="304" spans="1:28" s="264" customFormat="1" ht="20.399999999999999">
      <c r="A304" s="207"/>
      <c r="B304" s="208"/>
      <c r="C304" s="212"/>
      <c r="D304" s="270"/>
      <c r="E304" s="208"/>
      <c r="F304" s="208"/>
      <c r="G304" s="208"/>
      <c r="H304" s="209"/>
      <c r="I304" s="210"/>
      <c r="J304" s="210"/>
      <c r="K304" s="260"/>
      <c r="L304" s="260"/>
      <c r="M304" s="260"/>
      <c r="N304" s="260"/>
      <c r="O304" s="260"/>
      <c r="P304" s="211"/>
      <c r="Q304" s="261"/>
      <c r="R304" s="208" t="str">
        <f ca="1">IF(ISERROR($V304),"",OFFSET('Smelter Look-up'!$C$4,$V304-4,0)&amp;"")</f>
        <v/>
      </c>
      <c r="S304" s="215" t="str">
        <f t="shared" ca="1" si="42"/>
        <v/>
      </c>
      <c r="T304" s="215" t="str">
        <f ca="1">IF(B304="","",IF(ISERROR(MATCH($J304,SorP!$B$1:$B$6230,0)),"",INDIRECT("'SorP'!$A$"&amp;MATCH($J304,SorP!$B$1:$B$6230,0))))</f>
        <v/>
      </c>
      <c r="U304" s="231"/>
      <c r="V304" s="262" t="e">
        <f>IF(C304="",NA(),IF(OR(C304="Smelter not listed",C304="Smelter not yet identified"),MATCH($B304&amp;$D304,'Smelter Look-up'!$J:$J,0),MATCH($B304&amp;$C304,'Smelter Look-up'!$J:$J,0)))</f>
        <v>#N/A</v>
      </c>
      <c r="W304" s="263"/>
      <c r="X304" s="263">
        <f t="shared" si="43"/>
        <v>0</v>
      </c>
      <c r="Y304" s="263"/>
      <c r="Z304" s="263"/>
      <c r="AB304" s="265" t="str">
        <f t="shared" si="44"/>
        <v/>
      </c>
    </row>
    <row r="305" spans="1:28" s="264" customFormat="1" ht="20.399999999999999">
      <c r="A305" s="207"/>
      <c r="B305" s="208"/>
      <c r="C305" s="212"/>
      <c r="D305" s="270"/>
      <c r="E305" s="208"/>
      <c r="F305" s="208"/>
      <c r="G305" s="208"/>
      <c r="H305" s="209"/>
      <c r="I305" s="210"/>
      <c r="J305" s="210"/>
      <c r="K305" s="260"/>
      <c r="L305" s="260"/>
      <c r="M305" s="260"/>
      <c r="N305" s="260"/>
      <c r="O305" s="260"/>
      <c r="P305" s="211"/>
      <c r="Q305" s="261"/>
      <c r="R305" s="208" t="str">
        <f ca="1">IF(ISERROR($V305),"",OFFSET('Smelter Look-up'!$C$4,$V305-4,0)&amp;"")</f>
        <v/>
      </c>
      <c r="S305" s="215" t="str">
        <f t="shared" ca="1" si="42"/>
        <v/>
      </c>
      <c r="T305" s="215" t="str">
        <f ca="1">IF(B305="","",IF(ISERROR(MATCH($J305,SorP!$B$1:$B$6230,0)),"",INDIRECT("'SorP'!$A$"&amp;MATCH($J305,SorP!$B$1:$B$6230,0))))</f>
        <v/>
      </c>
      <c r="U305" s="231"/>
      <c r="V305" s="262" t="e">
        <f>IF(C305="",NA(),IF(OR(C305="Smelter not listed",C305="Smelter not yet identified"),MATCH($B305&amp;$D305,'Smelter Look-up'!$J:$J,0),MATCH($B305&amp;$C305,'Smelter Look-up'!$J:$J,0)))</f>
        <v>#N/A</v>
      </c>
      <c r="W305" s="263"/>
      <c r="X305" s="263">
        <f t="shared" si="43"/>
        <v>0</v>
      </c>
      <c r="Y305" s="263"/>
      <c r="Z305" s="263"/>
      <c r="AB305" s="265" t="str">
        <f t="shared" si="44"/>
        <v/>
      </c>
    </row>
    <row r="306" spans="1:28" s="264" customFormat="1" ht="20.399999999999999">
      <c r="A306" s="207"/>
      <c r="B306" s="208"/>
      <c r="C306" s="212"/>
      <c r="D306" s="270"/>
      <c r="E306" s="208"/>
      <c r="F306" s="208"/>
      <c r="G306" s="208"/>
      <c r="H306" s="209"/>
      <c r="I306" s="210"/>
      <c r="J306" s="210"/>
      <c r="K306" s="260"/>
      <c r="L306" s="260"/>
      <c r="M306" s="260"/>
      <c r="N306" s="260"/>
      <c r="O306" s="260"/>
      <c r="P306" s="211"/>
      <c r="Q306" s="261"/>
      <c r="R306" s="208" t="str">
        <f ca="1">IF(ISERROR($V306),"",OFFSET('Smelter Look-up'!$C$4,$V306-4,0)&amp;"")</f>
        <v/>
      </c>
      <c r="S306" s="215" t="str">
        <f t="shared" ca="1" si="42"/>
        <v/>
      </c>
      <c r="T306" s="215" t="str">
        <f ca="1">IF(B306="","",IF(ISERROR(MATCH($J306,SorP!$B$1:$B$6230,0)),"",INDIRECT("'SorP'!$A$"&amp;MATCH($J306,SorP!$B$1:$B$6230,0))))</f>
        <v/>
      </c>
      <c r="U306" s="231"/>
      <c r="V306" s="262" t="e">
        <f>IF(C306="",NA(),IF(OR(C306="Smelter not listed",C306="Smelter not yet identified"),MATCH($B306&amp;$D306,'Smelter Look-up'!$J:$J,0),MATCH($B306&amp;$C306,'Smelter Look-up'!$J:$J,0)))</f>
        <v>#N/A</v>
      </c>
      <c r="W306" s="263"/>
      <c r="X306" s="263">
        <f t="shared" si="43"/>
        <v>0</v>
      </c>
      <c r="Y306" s="263"/>
      <c r="Z306" s="263"/>
      <c r="AB306" s="265" t="str">
        <f t="shared" si="44"/>
        <v/>
      </c>
    </row>
    <row r="307" spans="1:28" s="264" customFormat="1" ht="20.399999999999999">
      <c r="A307" s="207"/>
      <c r="B307" s="208"/>
      <c r="C307" s="212"/>
      <c r="D307" s="270"/>
      <c r="E307" s="208"/>
      <c r="F307" s="208"/>
      <c r="G307" s="208"/>
      <c r="H307" s="209"/>
      <c r="I307" s="210"/>
      <c r="J307" s="210"/>
      <c r="K307" s="260"/>
      <c r="L307" s="260"/>
      <c r="M307" s="260"/>
      <c r="N307" s="260"/>
      <c r="O307" s="260"/>
      <c r="P307" s="211"/>
      <c r="Q307" s="261"/>
      <c r="R307" s="208" t="str">
        <f ca="1">IF(ISERROR($V307),"",OFFSET('Smelter Look-up'!$C$4,$V307-4,0)&amp;"")</f>
        <v/>
      </c>
      <c r="S307" s="215" t="str">
        <f t="shared" ca="1" si="42"/>
        <v/>
      </c>
      <c r="T307" s="215" t="str">
        <f ca="1">IF(B307="","",IF(ISERROR(MATCH($J307,SorP!$B$1:$B$6230,0)),"",INDIRECT("'SorP'!$A$"&amp;MATCH($J307,SorP!$B$1:$B$6230,0))))</f>
        <v/>
      </c>
      <c r="U307" s="231"/>
      <c r="V307" s="262" t="e">
        <f>IF(C307="",NA(),IF(OR(C307="Smelter not listed",C307="Smelter not yet identified"),MATCH($B307&amp;$D307,'Smelter Look-up'!$J:$J,0),MATCH($B307&amp;$C307,'Smelter Look-up'!$J:$J,0)))</f>
        <v>#N/A</v>
      </c>
      <c r="W307" s="263"/>
      <c r="X307" s="263">
        <f t="shared" si="43"/>
        <v>0</v>
      </c>
      <c r="Y307" s="263"/>
      <c r="Z307" s="263"/>
      <c r="AB307" s="265" t="str">
        <f t="shared" si="44"/>
        <v/>
      </c>
    </row>
    <row r="308" spans="1:28" s="264" customFormat="1" ht="20.399999999999999">
      <c r="A308" s="207"/>
      <c r="B308" s="208"/>
      <c r="C308" s="212"/>
      <c r="D308" s="270"/>
      <c r="E308" s="208"/>
      <c r="F308" s="208"/>
      <c r="G308" s="208"/>
      <c r="H308" s="209"/>
      <c r="I308" s="210"/>
      <c r="J308" s="210"/>
      <c r="K308" s="260"/>
      <c r="L308" s="260"/>
      <c r="M308" s="260"/>
      <c r="N308" s="260"/>
      <c r="O308" s="260"/>
      <c r="P308" s="211"/>
      <c r="Q308" s="261"/>
      <c r="R308" s="208" t="str">
        <f ca="1">IF(ISERROR($V308),"",OFFSET('Smelter Look-up'!$C$4,$V308-4,0)&amp;"")</f>
        <v/>
      </c>
      <c r="S308" s="215" t="str">
        <f t="shared" ca="1" si="42"/>
        <v/>
      </c>
      <c r="T308" s="215" t="str">
        <f ca="1">IF(B308="","",IF(ISERROR(MATCH($J308,SorP!$B$1:$B$6230,0)),"",INDIRECT("'SorP'!$A$"&amp;MATCH($J308,SorP!$B$1:$B$6230,0))))</f>
        <v/>
      </c>
      <c r="U308" s="231"/>
      <c r="V308" s="262" t="e">
        <f>IF(C308="",NA(),IF(OR(C308="Smelter not listed",C308="Smelter not yet identified"),MATCH($B308&amp;$D308,'Smelter Look-up'!$J:$J,0),MATCH($B308&amp;$C308,'Smelter Look-up'!$J:$J,0)))</f>
        <v>#N/A</v>
      </c>
      <c r="W308" s="263"/>
      <c r="X308" s="263">
        <f t="shared" si="43"/>
        <v>0</v>
      </c>
      <c r="Y308" s="263"/>
      <c r="Z308" s="263"/>
      <c r="AB308" s="265" t="str">
        <f t="shared" si="44"/>
        <v/>
      </c>
    </row>
    <row r="309" spans="1:28" s="264" customFormat="1" ht="20.399999999999999">
      <c r="A309" s="207"/>
      <c r="B309" s="208"/>
      <c r="C309" s="212"/>
      <c r="D309" s="270"/>
      <c r="E309" s="208"/>
      <c r="F309" s="208"/>
      <c r="G309" s="208"/>
      <c r="H309" s="209"/>
      <c r="I309" s="210"/>
      <c r="J309" s="210"/>
      <c r="K309" s="260"/>
      <c r="L309" s="260"/>
      <c r="M309" s="260"/>
      <c r="N309" s="260"/>
      <c r="O309" s="260"/>
      <c r="P309" s="211"/>
      <c r="Q309" s="261"/>
      <c r="R309" s="208" t="str">
        <f ca="1">IF(ISERROR($V309),"",OFFSET('Smelter Look-up'!$C$4,$V309-4,0)&amp;"")</f>
        <v/>
      </c>
      <c r="S309" s="215" t="str">
        <f t="shared" ca="1" si="42"/>
        <v/>
      </c>
      <c r="T309" s="215" t="str">
        <f ca="1">IF(B309="","",IF(ISERROR(MATCH($J309,SorP!$B$1:$B$6230,0)),"",INDIRECT("'SorP'!$A$"&amp;MATCH($J309,SorP!$B$1:$B$6230,0))))</f>
        <v/>
      </c>
      <c r="U309" s="231"/>
      <c r="V309" s="262" t="e">
        <f>IF(C309="",NA(),IF(OR(C309="Smelter not listed",C309="Smelter not yet identified"),MATCH($B309&amp;$D309,'Smelter Look-up'!$J:$J,0),MATCH($B309&amp;$C309,'Smelter Look-up'!$J:$J,0)))</f>
        <v>#N/A</v>
      </c>
      <c r="W309" s="263"/>
      <c r="X309" s="263">
        <f t="shared" si="43"/>
        <v>0</v>
      </c>
      <c r="Y309" s="263"/>
      <c r="Z309" s="263"/>
      <c r="AB309" s="265" t="str">
        <f t="shared" si="44"/>
        <v/>
      </c>
    </row>
    <row r="310" spans="1:28" s="264" customFormat="1" ht="20.399999999999999">
      <c r="A310" s="207"/>
      <c r="B310" s="208"/>
      <c r="C310" s="212"/>
      <c r="D310" s="270"/>
      <c r="E310" s="208"/>
      <c r="F310" s="208"/>
      <c r="G310" s="208"/>
      <c r="H310" s="209"/>
      <c r="I310" s="210"/>
      <c r="J310" s="210"/>
      <c r="K310" s="260"/>
      <c r="L310" s="260"/>
      <c r="M310" s="260"/>
      <c r="N310" s="260"/>
      <c r="O310" s="260"/>
      <c r="P310" s="211"/>
      <c r="Q310" s="261"/>
      <c r="R310" s="208" t="str">
        <f ca="1">IF(ISERROR($V310),"",OFFSET('Smelter Look-up'!$C$4,$V310-4,0)&amp;"")</f>
        <v/>
      </c>
      <c r="S310" s="215" t="str">
        <f t="shared" ca="1" si="42"/>
        <v/>
      </c>
      <c r="T310" s="215" t="str">
        <f ca="1">IF(B310="","",IF(ISERROR(MATCH($J310,SorP!$B$1:$B$6230,0)),"",INDIRECT("'SorP'!$A$"&amp;MATCH($J310,SorP!$B$1:$B$6230,0))))</f>
        <v/>
      </c>
      <c r="U310" s="231"/>
      <c r="V310" s="262" t="e">
        <f>IF(C310="",NA(),IF(OR(C310="Smelter not listed",C310="Smelter not yet identified"),MATCH($B310&amp;$D310,'Smelter Look-up'!$J:$J,0),MATCH($B310&amp;$C310,'Smelter Look-up'!$J:$J,0)))</f>
        <v>#N/A</v>
      </c>
      <c r="W310" s="263"/>
      <c r="X310" s="263">
        <f t="shared" si="43"/>
        <v>0</v>
      </c>
      <c r="Y310" s="263"/>
      <c r="Z310" s="263"/>
      <c r="AB310" s="265" t="str">
        <f t="shared" si="44"/>
        <v/>
      </c>
    </row>
    <row r="311" spans="1:28" s="264" customFormat="1" ht="20.399999999999999">
      <c r="A311" s="207"/>
      <c r="B311" s="208"/>
      <c r="C311" s="212"/>
      <c r="D311" s="270"/>
      <c r="E311" s="208"/>
      <c r="F311" s="208"/>
      <c r="G311" s="208"/>
      <c r="H311" s="209"/>
      <c r="I311" s="210"/>
      <c r="J311" s="210"/>
      <c r="K311" s="260"/>
      <c r="L311" s="260"/>
      <c r="M311" s="260"/>
      <c r="N311" s="260"/>
      <c r="O311" s="260"/>
      <c r="P311" s="211"/>
      <c r="Q311" s="261"/>
      <c r="R311" s="208" t="str">
        <f ca="1">IF(ISERROR($V311),"",OFFSET('Smelter Look-up'!$C$4,$V311-4,0)&amp;"")</f>
        <v/>
      </c>
      <c r="S311" s="215" t="str">
        <f t="shared" ca="1" si="42"/>
        <v/>
      </c>
      <c r="T311" s="215" t="str">
        <f ca="1">IF(B311="","",IF(ISERROR(MATCH($J311,SorP!$B$1:$B$6230,0)),"",INDIRECT("'SorP'!$A$"&amp;MATCH($J311,SorP!$B$1:$B$6230,0))))</f>
        <v/>
      </c>
      <c r="U311" s="231"/>
      <c r="V311" s="262" t="e">
        <f>IF(C311="",NA(),IF(OR(C311="Smelter not listed",C311="Smelter not yet identified"),MATCH($B311&amp;$D311,'Smelter Look-up'!$J:$J,0),MATCH($B311&amp;$C311,'Smelter Look-up'!$J:$J,0)))</f>
        <v>#N/A</v>
      </c>
      <c r="W311" s="263"/>
      <c r="X311" s="263">
        <f t="shared" si="43"/>
        <v>0</v>
      </c>
      <c r="Y311" s="263"/>
      <c r="Z311" s="263"/>
      <c r="AB311" s="265" t="str">
        <f t="shared" si="44"/>
        <v/>
      </c>
    </row>
    <row r="312" spans="1:28" s="264" customFormat="1" ht="20.399999999999999">
      <c r="A312" s="207"/>
      <c r="B312" s="208"/>
      <c r="C312" s="212"/>
      <c r="D312" s="270"/>
      <c r="E312" s="208"/>
      <c r="F312" s="208"/>
      <c r="G312" s="208"/>
      <c r="H312" s="209"/>
      <c r="I312" s="210"/>
      <c r="J312" s="210"/>
      <c r="K312" s="260"/>
      <c r="L312" s="260"/>
      <c r="M312" s="260"/>
      <c r="N312" s="260"/>
      <c r="O312" s="260"/>
      <c r="P312" s="211"/>
      <c r="Q312" s="261"/>
      <c r="R312" s="208" t="str">
        <f ca="1">IF(ISERROR($V312),"",OFFSET('Smelter Look-up'!$C$4,$V312-4,0)&amp;"")</f>
        <v/>
      </c>
      <c r="S312" s="215" t="str">
        <f t="shared" ca="1" si="42"/>
        <v/>
      </c>
      <c r="T312" s="215" t="str">
        <f ca="1">IF(B312="","",IF(ISERROR(MATCH($J312,SorP!$B$1:$B$6230,0)),"",INDIRECT("'SorP'!$A$"&amp;MATCH($J312,SorP!$B$1:$B$6230,0))))</f>
        <v/>
      </c>
      <c r="U312" s="231"/>
      <c r="V312" s="262" t="e">
        <f>IF(C312="",NA(),IF(OR(C312="Smelter not listed",C312="Smelter not yet identified"),MATCH($B312&amp;$D312,'Smelter Look-up'!$J:$J,0),MATCH($B312&amp;$C312,'Smelter Look-up'!$J:$J,0)))</f>
        <v>#N/A</v>
      </c>
      <c r="W312" s="263"/>
      <c r="X312" s="263">
        <f t="shared" si="43"/>
        <v>0</v>
      </c>
      <c r="Y312" s="263"/>
      <c r="Z312" s="263"/>
      <c r="AB312" s="265" t="str">
        <f t="shared" si="44"/>
        <v/>
      </c>
    </row>
    <row r="313" spans="1:28" s="264" customFormat="1" ht="20.399999999999999">
      <c r="A313" s="207"/>
      <c r="B313" s="208"/>
      <c r="C313" s="212"/>
      <c r="D313" s="270"/>
      <c r="E313" s="208"/>
      <c r="F313" s="208"/>
      <c r="G313" s="208"/>
      <c r="H313" s="209"/>
      <c r="I313" s="210"/>
      <c r="J313" s="210"/>
      <c r="K313" s="260"/>
      <c r="L313" s="260"/>
      <c r="M313" s="260"/>
      <c r="N313" s="260"/>
      <c r="O313" s="260"/>
      <c r="P313" s="211"/>
      <c r="Q313" s="261"/>
      <c r="R313" s="208" t="str">
        <f ca="1">IF(ISERROR($V313),"",OFFSET('Smelter Look-up'!$C$4,$V313-4,0)&amp;"")</f>
        <v/>
      </c>
      <c r="S313" s="215" t="str">
        <f t="shared" ca="1" si="42"/>
        <v/>
      </c>
      <c r="T313" s="215" t="str">
        <f ca="1">IF(B313="","",IF(ISERROR(MATCH($J313,SorP!$B$1:$B$6230,0)),"",INDIRECT("'SorP'!$A$"&amp;MATCH($J313,SorP!$B$1:$B$6230,0))))</f>
        <v/>
      </c>
      <c r="U313" s="231"/>
      <c r="V313" s="262" t="e">
        <f>IF(C313="",NA(),IF(OR(C313="Smelter not listed",C313="Smelter not yet identified"),MATCH($B313&amp;$D313,'Smelter Look-up'!$J:$J,0),MATCH($B313&amp;$C313,'Smelter Look-up'!$J:$J,0)))</f>
        <v>#N/A</v>
      </c>
      <c r="W313" s="263"/>
      <c r="X313" s="263">
        <f t="shared" si="43"/>
        <v>0</v>
      </c>
      <c r="Y313" s="263"/>
      <c r="Z313" s="263"/>
      <c r="AB313" s="265" t="str">
        <f t="shared" si="44"/>
        <v/>
      </c>
    </row>
    <row r="314" spans="1:28" s="264" customFormat="1" ht="20.399999999999999">
      <c r="A314" s="207"/>
      <c r="B314" s="208"/>
      <c r="C314" s="212"/>
      <c r="D314" s="270"/>
      <c r="E314" s="208"/>
      <c r="F314" s="208"/>
      <c r="G314" s="208"/>
      <c r="H314" s="209"/>
      <c r="I314" s="210"/>
      <c r="J314" s="210"/>
      <c r="K314" s="260"/>
      <c r="L314" s="260"/>
      <c r="M314" s="260"/>
      <c r="N314" s="260"/>
      <c r="O314" s="260"/>
      <c r="P314" s="211"/>
      <c r="Q314" s="261"/>
      <c r="R314" s="208" t="str">
        <f ca="1">IF(ISERROR($V314),"",OFFSET('Smelter Look-up'!$C$4,$V314-4,0)&amp;"")</f>
        <v/>
      </c>
      <c r="S314" s="215" t="str">
        <f t="shared" ca="1" si="42"/>
        <v/>
      </c>
      <c r="T314" s="215" t="str">
        <f ca="1">IF(B314="","",IF(ISERROR(MATCH($J314,SorP!$B$1:$B$6230,0)),"",INDIRECT("'SorP'!$A$"&amp;MATCH($J314,SorP!$B$1:$B$6230,0))))</f>
        <v/>
      </c>
      <c r="U314" s="231"/>
      <c r="V314" s="262" t="e">
        <f>IF(C314="",NA(),IF(OR(C314="Smelter not listed",C314="Smelter not yet identified"),MATCH($B314&amp;$D314,'Smelter Look-up'!$J:$J,0),MATCH($B314&amp;$C314,'Smelter Look-up'!$J:$J,0)))</f>
        <v>#N/A</v>
      </c>
      <c r="W314" s="263"/>
      <c r="X314" s="263">
        <f t="shared" si="43"/>
        <v>0</v>
      </c>
      <c r="Y314" s="263"/>
      <c r="Z314" s="263"/>
      <c r="AB314" s="265" t="str">
        <f t="shared" si="44"/>
        <v/>
      </c>
    </row>
    <row r="315" spans="1:28" s="264" customFormat="1" ht="20.399999999999999">
      <c r="A315" s="207"/>
      <c r="B315" s="208"/>
      <c r="C315" s="212"/>
      <c r="D315" s="270"/>
      <c r="E315" s="208"/>
      <c r="F315" s="208"/>
      <c r="G315" s="208"/>
      <c r="H315" s="209"/>
      <c r="I315" s="210"/>
      <c r="J315" s="210"/>
      <c r="K315" s="260"/>
      <c r="L315" s="260"/>
      <c r="M315" s="260"/>
      <c r="N315" s="260"/>
      <c r="O315" s="260"/>
      <c r="P315" s="211"/>
      <c r="Q315" s="261"/>
      <c r="R315" s="208" t="str">
        <f ca="1">IF(ISERROR($V315),"",OFFSET('Smelter Look-up'!$C$4,$V315-4,0)&amp;"")</f>
        <v/>
      </c>
      <c r="S315" s="215" t="str">
        <f t="shared" ca="1" si="42"/>
        <v/>
      </c>
      <c r="T315" s="215" t="str">
        <f ca="1">IF(B315="","",IF(ISERROR(MATCH($J315,SorP!$B$1:$B$6230,0)),"",INDIRECT("'SorP'!$A$"&amp;MATCH($J315,SorP!$B$1:$B$6230,0))))</f>
        <v/>
      </c>
      <c r="U315" s="231"/>
      <c r="V315" s="262" t="e">
        <f>IF(C315="",NA(),IF(OR(C315="Smelter not listed",C315="Smelter not yet identified"),MATCH($B315&amp;$D315,'Smelter Look-up'!$J:$J,0),MATCH($B315&amp;$C315,'Smelter Look-up'!$J:$J,0)))</f>
        <v>#N/A</v>
      </c>
      <c r="W315" s="263"/>
      <c r="X315" s="263">
        <f t="shared" si="43"/>
        <v>0</v>
      </c>
      <c r="Y315" s="263"/>
      <c r="Z315" s="263"/>
      <c r="AB315" s="265" t="str">
        <f t="shared" si="44"/>
        <v/>
      </c>
    </row>
    <row r="316" spans="1:28" s="264" customFormat="1" ht="20.399999999999999">
      <c r="A316" s="207"/>
      <c r="B316" s="208"/>
      <c r="C316" s="212"/>
      <c r="D316" s="270"/>
      <c r="E316" s="208"/>
      <c r="F316" s="208"/>
      <c r="G316" s="208"/>
      <c r="H316" s="209"/>
      <c r="I316" s="210"/>
      <c r="J316" s="210"/>
      <c r="K316" s="260"/>
      <c r="L316" s="260"/>
      <c r="M316" s="260"/>
      <c r="N316" s="260"/>
      <c r="O316" s="260"/>
      <c r="P316" s="211"/>
      <c r="Q316" s="261"/>
      <c r="R316" s="208" t="str">
        <f ca="1">IF(ISERROR($V316),"",OFFSET('Smelter Look-up'!$C$4,$V316-4,0)&amp;"")</f>
        <v/>
      </c>
      <c r="S316" s="215" t="str">
        <f t="shared" ca="1" si="42"/>
        <v/>
      </c>
      <c r="T316" s="215" t="str">
        <f ca="1">IF(B316="","",IF(ISERROR(MATCH($J316,SorP!$B$1:$B$6230,0)),"",INDIRECT("'SorP'!$A$"&amp;MATCH($J316,SorP!$B$1:$B$6230,0))))</f>
        <v/>
      </c>
      <c r="U316" s="231"/>
      <c r="V316" s="262" t="e">
        <f>IF(C316="",NA(),IF(OR(C316="Smelter not listed",C316="Smelter not yet identified"),MATCH($B316&amp;$D316,'Smelter Look-up'!$J:$J,0),MATCH($B316&amp;$C316,'Smelter Look-up'!$J:$J,0)))</f>
        <v>#N/A</v>
      </c>
      <c r="W316" s="263"/>
      <c r="X316" s="263">
        <f t="shared" si="43"/>
        <v>0</v>
      </c>
      <c r="Y316" s="263"/>
      <c r="Z316" s="263"/>
      <c r="AB316" s="265" t="str">
        <f t="shared" si="44"/>
        <v/>
      </c>
    </row>
    <row r="317" spans="1:28" s="264" customFormat="1" ht="20.399999999999999">
      <c r="A317" s="207"/>
      <c r="B317" s="208"/>
      <c r="C317" s="212"/>
      <c r="D317" s="270"/>
      <c r="E317" s="208"/>
      <c r="F317" s="208"/>
      <c r="G317" s="208"/>
      <c r="H317" s="209"/>
      <c r="I317" s="210"/>
      <c r="J317" s="210"/>
      <c r="K317" s="260"/>
      <c r="L317" s="260"/>
      <c r="M317" s="260"/>
      <c r="N317" s="260"/>
      <c r="O317" s="260"/>
      <c r="P317" s="211"/>
      <c r="Q317" s="261"/>
      <c r="R317" s="208" t="str">
        <f ca="1">IF(ISERROR($V317),"",OFFSET('Smelter Look-up'!$C$4,$V317-4,0)&amp;"")</f>
        <v/>
      </c>
      <c r="S317" s="215" t="str">
        <f t="shared" ca="1" si="42"/>
        <v/>
      </c>
      <c r="T317" s="215" t="str">
        <f ca="1">IF(B317="","",IF(ISERROR(MATCH($J317,SorP!$B$1:$B$6230,0)),"",INDIRECT("'SorP'!$A$"&amp;MATCH($J317,SorP!$B$1:$B$6230,0))))</f>
        <v/>
      </c>
      <c r="U317" s="231"/>
      <c r="V317" s="262" t="e">
        <f>IF(C317="",NA(),IF(OR(C317="Smelter not listed",C317="Smelter not yet identified"),MATCH($B317&amp;$D317,'Smelter Look-up'!$J:$J,0),MATCH($B317&amp;$C317,'Smelter Look-up'!$J:$J,0)))</f>
        <v>#N/A</v>
      </c>
      <c r="W317" s="263"/>
      <c r="X317" s="263">
        <f t="shared" si="43"/>
        <v>0</v>
      </c>
      <c r="Y317" s="263"/>
      <c r="Z317" s="263"/>
      <c r="AB317" s="265" t="str">
        <f t="shared" si="44"/>
        <v/>
      </c>
    </row>
    <row r="318" spans="1:28" s="264" customFormat="1" ht="20.399999999999999">
      <c r="A318" s="207"/>
      <c r="B318" s="208"/>
      <c r="C318" s="212"/>
      <c r="D318" s="270"/>
      <c r="E318" s="208"/>
      <c r="F318" s="208"/>
      <c r="G318" s="208"/>
      <c r="H318" s="209"/>
      <c r="I318" s="210"/>
      <c r="J318" s="210"/>
      <c r="K318" s="260"/>
      <c r="L318" s="260"/>
      <c r="M318" s="260"/>
      <c r="N318" s="260"/>
      <c r="O318" s="260"/>
      <c r="P318" s="211"/>
      <c r="Q318" s="261"/>
      <c r="R318" s="208" t="str">
        <f ca="1">IF(ISERROR($V318),"",OFFSET('Smelter Look-up'!$C$4,$V318-4,0)&amp;"")</f>
        <v/>
      </c>
      <c r="S318" s="215" t="str">
        <f t="shared" ca="1" si="42"/>
        <v/>
      </c>
      <c r="T318" s="215" t="str">
        <f ca="1">IF(B318="","",IF(ISERROR(MATCH($J318,SorP!$B$1:$B$6230,0)),"",INDIRECT("'SorP'!$A$"&amp;MATCH($J318,SorP!$B$1:$B$6230,0))))</f>
        <v/>
      </c>
      <c r="U318" s="231"/>
      <c r="V318" s="262" t="e">
        <f>IF(C318="",NA(),IF(OR(C318="Smelter not listed",C318="Smelter not yet identified"),MATCH($B318&amp;$D318,'Smelter Look-up'!$J:$J,0),MATCH($B318&amp;$C318,'Smelter Look-up'!$J:$J,0)))</f>
        <v>#N/A</v>
      </c>
      <c r="W318" s="263"/>
      <c r="X318" s="263">
        <f t="shared" si="43"/>
        <v>0</v>
      </c>
      <c r="Y318" s="263"/>
      <c r="Z318" s="263"/>
      <c r="AB318" s="265" t="str">
        <f t="shared" si="44"/>
        <v/>
      </c>
    </row>
    <row r="319" spans="1:28" s="264" customFormat="1" ht="20.399999999999999">
      <c r="A319" s="207"/>
      <c r="B319" s="208"/>
      <c r="C319" s="212"/>
      <c r="D319" s="270"/>
      <c r="E319" s="208"/>
      <c r="F319" s="208"/>
      <c r="G319" s="208"/>
      <c r="H319" s="209"/>
      <c r="I319" s="210"/>
      <c r="J319" s="210"/>
      <c r="K319" s="260"/>
      <c r="L319" s="260"/>
      <c r="M319" s="260"/>
      <c r="N319" s="260"/>
      <c r="O319" s="260"/>
      <c r="P319" s="211"/>
      <c r="Q319" s="261"/>
      <c r="R319" s="208" t="str">
        <f ca="1">IF(ISERROR($V319),"",OFFSET('Smelter Look-up'!$C$4,$V319-4,0)&amp;"")</f>
        <v/>
      </c>
      <c r="S319" s="215" t="str">
        <f t="shared" ca="1" si="42"/>
        <v/>
      </c>
      <c r="T319" s="215" t="str">
        <f ca="1">IF(B319="","",IF(ISERROR(MATCH($J319,SorP!$B$1:$B$6230,0)),"",INDIRECT("'SorP'!$A$"&amp;MATCH($J319,SorP!$B$1:$B$6230,0))))</f>
        <v/>
      </c>
      <c r="U319" s="231"/>
      <c r="V319" s="262" t="e">
        <f>IF(C319="",NA(),IF(OR(C319="Smelter not listed",C319="Smelter not yet identified"),MATCH($B319&amp;$D319,'Smelter Look-up'!$J:$J,0),MATCH($B319&amp;$C319,'Smelter Look-up'!$J:$J,0)))</f>
        <v>#N/A</v>
      </c>
      <c r="W319" s="263"/>
      <c r="X319" s="263">
        <f t="shared" si="43"/>
        <v>0</v>
      </c>
      <c r="Y319" s="263"/>
      <c r="Z319" s="263"/>
      <c r="AB319" s="265" t="str">
        <f t="shared" si="44"/>
        <v/>
      </c>
    </row>
    <row r="320" spans="1:28" s="264" customFormat="1" ht="20.399999999999999">
      <c r="A320" s="207"/>
      <c r="B320" s="208"/>
      <c r="C320" s="212"/>
      <c r="D320" s="270"/>
      <c r="E320" s="208"/>
      <c r="F320" s="208"/>
      <c r="G320" s="208"/>
      <c r="H320" s="209"/>
      <c r="I320" s="210"/>
      <c r="J320" s="210"/>
      <c r="K320" s="260"/>
      <c r="L320" s="260"/>
      <c r="M320" s="260"/>
      <c r="N320" s="260"/>
      <c r="O320" s="260"/>
      <c r="P320" s="211"/>
      <c r="Q320" s="261"/>
      <c r="R320" s="208" t="str">
        <f ca="1">IF(ISERROR($V320),"",OFFSET('Smelter Look-up'!$C$4,$V320-4,0)&amp;"")</f>
        <v/>
      </c>
      <c r="S320" s="215" t="str">
        <f t="shared" ca="1" si="42"/>
        <v/>
      </c>
      <c r="T320" s="215" t="str">
        <f ca="1">IF(B320="","",IF(ISERROR(MATCH($J320,SorP!$B$1:$B$6230,0)),"",INDIRECT("'SorP'!$A$"&amp;MATCH($J320,SorP!$B$1:$B$6230,0))))</f>
        <v/>
      </c>
      <c r="U320" s="231"/>
      <c r="V320" s="262" t="e">
        <f>IF(C320="",NA(),IF(OR(C320="Smelter not listed",C320="Smelter not yet identified"),MATCH($B320&amp;$D320,'Smelter Look-up'!$J:$J,0),MATCH($B320&amp;$C320,'Smelter Look-up'!$J:$J,0)))</f>
        <v>#N/A</v>
      </c>
      <c r="W320" s="263"/>
      <c r="X320" s="263">
        <f t="shared" si="43"/>
        <v>0</v>
      </c>
      <c r="Y320" s="263"/>
      <c r="Z320" s="263"/>
      <c r="AB320" s="265" t="str">
        <f t="shared" si="44"/>
        <v/>
      </c>
    </row>
    <row r="321" spans="1:28" s="264" customFormat="1" ht="20.399999999999999">
      <c r="A321" s="207"/>
      <c r="B321" s="208"/>
      <c r="C321" s="212"/>
      <c r="D321" s="270"/>
      <c r="E321" s="208"/>
      <c r="F321" s="208"/>
      <c r="G321" s="208"/>
      <c r="H321" s="209"/>
      <c r="I321" s="210"/>
      <c r="J321" s="210"/>
      <c r="K321" s="260"/>
      <c r="L321" s="260"/>
      <c r="M321" s="260"/>
      <c r="N321" s="260"/>
      <c r="O321" s="260"/>
      <c r="P321" s="211"/>
      <c r="Q321" s="261"/>
      <c r="R321" s="208" t="str">
        <f ca="1">IF(ISERROR($V321),"",OFFSET('Smelter Look-up'!$C$4,$V321-4,0)&amp;"")</f>
        <v/>
      </c>
      <c r="S321" s="215" t="str">
        <f t="shared" ca="1" si="42"/>
        <v/>
      </c>
      <c r="T321" s="215" t="str">
        <f ca="1">IF(B321="","",IF(ISERROR(MATCH($J321,SorP!$B$1:$B$6230,0)),"",INDIRECT("'SorP'!$A$"&amp;MATCH($J321,SorP!$B$1:$B$6230,0))))</f>
        <v/>
      </c>
      <c r="U321" s="231"/>
      <c r="V321" s="262" t="e">
        <f>IF(C321="",NA(),IF(OR(C321="Smelter not listed",C321="Smelter not yet identified"),MATCH($B321&amp;$D321,'Smelter Look-up'!$J:$J,0),MATCH($B321&amp;$C321,'Smelter Look-up'!$J:$J,0)))</f>
        <v>#N/A</v>
      </c>
      <c r="W321" s="263"/>
      <c r="X321" s="263">
        <f t="shared" si="43"/>
        <v>0</v>
      </c>
      <c r="Y321" s="263"/>
      <c r="Z321" s="263"/>
      <c r="AB321" s="265" t="str">
        <f t="shared" si="44"/>
        <v/>
      </c>
    </row>
    <row r="322" spans="1:28" s="264" customFormat="1" ht="20.399999999999999">
      <c r="A322" s="207"/>
      <c r="B322" s="208"/>
      <c r="C322" s="212"/>
      <c r="D322" s="270"/>
      <c r="E322" s="208"/>
      <c r="F322" s="208"/>
      <c r="G322" s="208"/>
      <c r="H322" s="209"/>
      <c r="I322" s="210"/>
      <c r="J322" s="210"/>
      <c r="K322" s="260"/>
      <c r="L322" s="260"/>
      <c r="M322" s="260"/>
      <c r="N322" s="260"/>
      <c r="O322" s="260"/>
      <c r="P322" s="211"/>
      <c r="Q322" s="261"/>
      <c r="R322" s="208" t="str">
        <f ca="1">IF(ISERROR($V322),"",OFFSET('Smelter Look-up'!$C$4,$V322-4,0)&amp;"")</f>
        <v/>
      </c>
      <c r="S322" s="215" t="str">
        <f t="shared" ca="1" si="42"/>
        <v/>
      </c>
      <c r="T322" s="215" t="str">
        <f ca="1">IF(B322="","",IF(ISERROR(MATCH($J322,SorP!$B$1:$B$6230,0)),"",INDIRECT("'SorP'!$A$"&amp;MATCH($J322,SorP!$B$1:$B$6230,0))))</f>
        <v/>
      </c>
      <c r="U322" s="231"/>
      <c r="V322" s="262" t="e">
        <f>IF(C322="",NA(),IF(OR(C322="Smelter not listed",C322="Smelter not yet identified"),MATCH($B322&amp;$D322,'Smelter Look-up'!$J:$J,0),MATCH($B322&amp;$C322,'Smelter Look-up'!$J:$J,0)))</f>
        <v>#N/A</v>
      </c>
      <c r="W322" s="263"/>
      <c r="X322" s="263">
        <f t="shared" si="43"/>
        <v>0</v>
      </c>
      <c r="Y322" s="263"/>
      <c r="Z322" s="263"/>
      <c r="AB322" s="265" t="str">
        <f t="shared" si="44"/>
        <v/>
      </c>
    </row>
    <row r="323" spans="1:28" s="264" customFormat="1" ht="20.399999999999999">
      <c r="A323" s="207"/>
      <c r="B323" s="208"/>
      <c r="C323" s="212"/>
      <c r="D323" s="270"/>
      <c r="E323" s="208"/>
      <c r="F323" s="208"/>
      <c r="G323" s="208"/>
      <c r="H323" s="209"/>
      <c r="I323" s="210"/>
      <c r="J323" s="210"/>
      <c r="K323" s="260"/>
      <c r="L323" s="260"/>
      <c r="M323" s="260"/>
      <c r="N323" s="260"/>
      <c r="O323" s="260"/>
      <c r="P323" s="211"/>
      <c r="Q323" s="261"/>
      <c r="R323" s="208" t="str">
        <f ca="1">IF(ISERROR($V323),"",OFFSET('Smelter Look-up'!$C$4,$V323-4,0)&amp;"")</f>
        <v/>
      </c>
      <c r="S323" s="215" t="str">
        <f t="shared" ca="1" si="42"/>
        <v/>
      </c>
      <c r="T323" s="215" t="str">
        <f ca="1">IF(B323="","",IF(ISERROR(MATCH($J323,SorP!$B$1:$B$6230,0)),"",INDIRECT("'SorP'!$A$"&amp;MATCH($J323,SorP!$B$1:$B$6230,0))))</f>
        <v/>
      </c>
      <c r="U323" s="231"/>
      <c r="V323" s="262" t="e">
        <f>IF(C323="",NA(),IF(OR(C323="Smelter not listed",C323="Smelter not yet identified"),MATCH($B323&amp;$D323,'Smelter Look-up'!$J:$J,0),MATCH($B323&amp;$C323,'Smelter Look-up'!$J:$J,0)))</f>
        <v>#N/A</v>
      </c>
      <c r="W323" s="263"/>
      <c r="X323" s="263">
        <f t="shared" si="43"/>
        <v>0</v>
      </c>
      <c r="Y323" s="263"/>
      <c r="Z323" s="263"/>
      <c r="AB323" s="265" t="str">
        <f t="shared" si="44"/>
        <v/>
      </c>
    </row>
    <row r="324" spans="1:28" s="264" customFormat="1" ht="20.399999999999999">
      <c r="A324" s="207"/>
      <c r="B324" s="208"/>
      <c r="C324" s="212"/>
      <c r="D324" s="270"/>
      <c r="E324" s="208"/>
      <c r="F324" s="208"/>
      <c r="G324" s="208"/>
      <c r="H324" s="209"/>
      <c r="I324" s="210"/>
      <c r="J324" s="210"/>
      <c r="K324" s="260"/>
      <c r="L324" s="260"/>
      <c r="M324" s="260"/>
      <c r="N324" s="260"/>
      <c r="O324" s="260"/>
      <c r="P324" s="211"/>
      <c r="Q324" s="261"/>
      <c r="R324" s="208" t="str">
        <f ca="1">IF(ISERROR($V324),"",OFFSET('Smelter Look-up'!$C$4,$V324-4,0)&amp;"")</f>
        <v/>
      </c>
      <c r="S324" s="215" t="str">
        <f t="shared" ca="1" si="42"/>
        <v/>
      </c>
      <c r="T324" s="215" t="str">
        <f ca="1">IF(B324="","",IF(ISERROR(MATCH($J324,SorP!$B$1:$B$6230,0)),"",INDIRECT("'SorP'!$A$"&amp;MATCH($J324,SorP!$B$1:$B$6230,0))))</f>
        <v/>
      </c>
      <c r="U324" s="231"/>
      <c r="V324" s="262" t="e">
        <f>IF(C324="",NA(),IF(OR(C324="Smelter not listed",C324="Smelter not yet identified"),MATCH($B324&amp;$D324,'Smelter Look-up'!$J:$J,0),MATCH($B324&amp;$C324,'Smelter Look-up'!$J:$J,0)))</f>
        <v>#N/A</v>
      </c>
      <c r="W324" s="263"/>
      <c r="X324" s="263">
        <f t="shared" si="43"/>
        <v>0</v>
      </c>
      <c r="Y324" s="263"/>
      <c r="Z324" s="263"/>
      <c r="AB324" s="265" t="str">
        <f t="shared" si="44"/>
        <v/>
      </c>
    </row>
    <row r="325" spans="1:28" s="264" customFormat="1" ht="20.399999999999999">
      <c r="A325" s="207"/>
      <c r="B325" s="208"/>
      <c r="C325" s="212"/>
      <c r="D325" s="270"/>
      <c r="E325" s="208"/>
      <c r="F325" s="208"/>
      <c r="G325" s="208"/>
      <c r="H325" s="209"/>
      <c r="I325" s="210"/>
      <c r="J325" s="210"/>
      <c r="K325" s="260"/>
      <c r="L325" s="260"/>
      <c r="M325" s="260"/>
      <c r="N325" s="260"/>
      <c r="O325" s="260"/>
      <c r="P325" s="211"/>
      <c r="Q325" s="261"/>
      <c r="R325" s="208" t="str">
        <f ca="1">IF(ISERROR($V325),"",OFFSET('Smelter Look-up'!$C$4,$V325-4,0)&amp;"")</f>
        <v/>
      </c>
      <c r="S325" s="215" t="str">
        <f t="shared" ref="S325" ca="1" si="45">IF(B325="","",IF(ISERROR(MATCH($E325,CL,0)),"Unknown",INDIRECT("'C'!$A$"&amp;MATCH($E325,CL,0)+1)))</f>
        <v/>
      </c>
      <c r="T325" s="215" t="str">
        <f ca="1">IF(B325="","",IF(ISERROR(MATCH($J325,SorP!$B$1:$B$6230,0)),"",INDIRECT("'SorP'!$A$"&amp;MATCH($J325,SorP!$B$1:$B$6230,0))))</f>
        <v/>
      </c>
      <c r="U325" s="231"/>
      <c r="V325" s="262" t="e">
        <f>IF(C325="",NA(),IF(OR(C325="Smelter not listed",C325="Smelter not yet identified"),MATCH($B325&amp;$D325,'Smelter Look-up'!$J:$J,0),MATCH($B325&amp;$C325,'Smelter Look-up'!$J:$J,0)))</f>
        <v>#N/A</v>
      </c>
      <c r="W325" s="263"/>
      <c r="X325" s="263">
        <f t="shared" ref="X325" si="46">IF(AND(C325="Smelter not listed",OR(LEN(D325)=0,LEN(E325)=0)),1,0)</f>
        <v>0</v>
      </c>
      <c r="Y325" s="263"/>
      <c r="Z325" s="263"/>
      <c r="AB325" s="265" t="str">
        <f t="shared" ref="AB325" si="47">B325&amp;C325</f>
        <v/>
      </c>
    </row>
    <row r="326" spans="1:28" s="264" customFormat="1" ht="20.399999999999999">
      <c r="A326" s="207"/>
      <c r="B326" s="208"/>
      <c r="C326" s="212"/>
      <c r="D326" s="270"/>
      <c r="E326" s="208"/>
      <c r="F326" s="208"/>
      <c r="G326" s="208"/>
      <c r="H326" s="209"/>
      <c r="I326" s="210"/>
      <c r="J326" s="210"/>
      <c r="K326" s="260"/>
      <c r="L326" s="260"/>
      <c r="M326" s="260"/>
      <c r="N326" s="260"/>
      <c r="O326" s="260"/>
      <c r="P326" s="211"/>
      <c r="Q326" s="261"/>
      <c r="R326" s="208" t="str">
        <f ca="1">IF(ISERROR($V326),"",OFFSET('Smelter Look-up'!$C$4,$V326-4,0)&amp;"")</f>
        <v/>
      </c>
      <c r="S326" s="215" t="str">
        <f t="shared" ref="S326:S357" ca="1" si="48">IF(B326="","",IF(ISERROR(MATCH($E326,CL,0)),"Unknown",INDIRECT("'C'!$A$"&amp;MATCH($E326,CL,0)+1)))</f>
        <v/>
      </c>
      <c r="T326" s="215" t="str">
        <f ca="1">IF(B326="","",IF(ISERROR(MATCH($J326,SorP!$B$1:$B$6230,0)),"",INDIRECT("'SorP'!$A$"&amp;MATCH($J326,SorP!$B$1:$B$6230,0))))</f>
        <v/>
      </c>
      <c r="U326" s="231"/>
      <c r="V326" s="262" t="e">
        <f>IF(C326="",NA(),IF(OR(C326="Smelter not listed",C326="Smelter not yet identified"),MATCH($B326&amp;$D326,'Smelter Look-up'!$J:$J,0),MATCH($B326&amp;$C326,'Smelter Look-up'!$J:$J,0)))</f>
        <v>#N/A</v>
      </c>
      <c r="W326" s="263"/>
      <c r="X326" s="263">
        <f t="shared" ref="X326:X357" si="49">IF(AND(C326="Smelter not listed",OR(LEN(D326)=0,LEN(E326)=0)),1,0)</f>
        <v>0</v>
      </c>
      <c r="Y326" s="263"/>
      <c r="Z326" s="263"/>
      <c r="AB326" s="265" t="str">
        <f t="shared" ref="AB326:AB357" si="50">B326&amp;C326</f>
        <v/>
      </c>
    </row>
    <row r="327" spans="1:28" s="264" customFormat="1" ht="20.399999999999999">
      <c r="A327" s="207"/>
      <c r="B327" s="208"/>
      <c r="C327" s="212"/>
      <c r="D327" s="270"/>
      <c r="E327" s="208"/>
      <c r="F327" s="208"/>
      <c r="G327" s="208"/>
      <c r="H327" s="209"/>
      <c r="I327" s="210"/>
      <c r="J327" s="210"/>
      <c r="K327" s="260"/>
      <c r="L327" s="260"/>
      <c r="M327" s="260"/>
      <c r="N327" s="260"/>
      <c r="O327" s="260"/>
      <c r="P327" s="211"/>
      <c r="Q327" s="261"/>
      <c r="R327" s="208" t="str">
        <f ca="1">IF(ISERROR($V327),"",OFFSET('Smelter Look-up'!$C$4,$V327-4,0)&amp;"")</f>
        <v/>
      </c>
      <c r="S327" s="215" t="str">
        <f t="shared" ca="1" si="48"/>
        <v/>
      </c>
      <c r="T327" s="215" t="str">
        <f ca="1">IF(B327="","",IF(ISERROR(MATCH($J327,SorP!$B$1:$B$6230,0)),"",INDIRECT("'SorP'!$A$"&amp;MATCH($J327,SorP!$B$1:$B$6230,0))))</f>
        <v/>
      </c>
      <c r="U327" s="231"/>
      <c r="V327" s="262" t="e">
        <f>IF(C327="",NA(),IF(OR(C327="Smelter not listed",C327="Smelter not yet identified"),MATCH($B327&amp;$D327,'Smelter Look-up'!$J:$J,0),MATCH($B327&amp;$C327,'Smelter Look-up'!$J:$J,0)))</f>
        <v>#N/A</v>
      </c>
      <c r="W327" s="263"/>
      <c r="X327" s="263">
        <f t="shared" si="49"/>
        <v>0</v>
      </c>
      <c r="Y327" s="263"/>
      <c r="Z327" s="263"/>
      <c r="AB327" s="265" t="str">
        <f t="shared" si="50"/>
        <v/>
      </c>
    </row>
    <row r="328" spans="1:28" s="264" customFormat="1" ht="20.399999999999999">
      <c r="A328" s="207"/>
      <c r="B328" s="208"/>
      <c r="C328" s="212"/>
      <c r="D328" s="270"/>
      <c r="E328" s="208"/>
      <c r="F328" s="208"/>
      <c r="G328" s="208"/>
      <c r="H328" s="209"/>
      <c r="I328" s="210"/>
      <c r="J328" s="210"/>
      <c r="K328" s="260"/>
      <c r="L328" s="260"/>
      <c r="M328" s="260"/>
      <c r="N328" s="260"/>
      <c r="O328" s="260"/>
      <c r="P328" s="211"/>
      <c r="Q328" s="261"/>
      <c r="R328" s="208" t="str">
        <f ca="1">IF(ISERROR($V328),"",OFFSET('Smelter Look-up'!$C$4,$V328-4,0)&amp;"")</f>
        <v/>
      </c>
      <c r="S328" s="215" t="str">
        <f t="shared" ca="1" si="48"/>
        <v/>
      </c>
      <c r="T328" s="215" t="str">
        <f ca="1">IF(B328="","",IF(ISERROR(MATCH($J328,SorP!$B$1:$B$6230,0)),"",INDIRECT("'SorP'!$A$"&amp;MATCH($J328,SorP!$B$1:$B$6230,0))))</f>
        <v/>
      </c>
      <c r="U328" s="231"/>
      <c r="V328" s="262" t="e">
        <f>IF(C328="",NA(),IF(OR(C328="Smelter not listed",C328="Smelter not yet identified"),MATCH($B328&amp;$D328,'Smelter Look-up'!$J:$J,0),MATCH($B328&amp;$C328,'Smelter Look-up'!$J:$J,0)))</f>
        <v>#N/A</v>
      </c>
      <c r="W328" s="263"/>
      <c r="X328" s="263">
        <f t="shared" si="49"/>
        <v>0</v>
      </c>
      <c r="Y328" s="263"/>
      <c r="Z328" s="263"/>
      <c r="AB328" s="265" t="str">
        <f t="shared" si="50"/>
        <v/>
      </c>
    </row>
    <row r="329" spans="1:28" s="264" customFormat="1" ht="20.399999999999999">
      <c r="A329" s="207"/>
      <c r="B329" s="208"/>
      <c r="C329" s="212"/>
      <c r="D329" s="270"/>
      <c r="E329" s="208"/>
      <c r="F329" s="208"/>
      <c r="G329" s="208"/>
      <c r="H329" s="209"/>
      <c r="I329" s="210"/>
      <c r="J329" s="210"/>
      <c r="K329" s="260"/>
      <c r="L329" s="260"/>
      <c r="M329" s="260"/>
      <c r="N329" s="260"/>
      <c r="O329" s="260"/>
      <c r="P329" s="211"/>
      <c r="Q329" s="261"/>
      <c r="R329" s="208" t="str">
        <f ca="1">IF(ISERROR($V329),"",OFFSET('Smelter Look-up'!$C$4,$V329-4,0)&amp;"")</f>
        <v/>
      </c>
      <c r="S329" s="215" t="str">
        <f t="shared" ca="1" si="48"/>
        <v/>
      </c>
      <c r="T329" s="215" t="str">
        <f ca="1">IF(B329="","",IF(ISERROR(MATCH($J329,SorP!$B$1:$B$6230,0)),"",INDIRECT("'SorP'!$A$"&amp;MATCH($J329,SorP!$B$1:$B$6230,0))))</f>
        <v/>
      </c>
      <c r="U329" s="231"/>
      <c r="V329" s="262" t="e">
        <f>IF(C329="",NA(),IF(OR(C329="Smelter not listed",C329="Smelter not yet identified"),MATCH($B329&amp;$D329,'Smelter Look-up'!$J:$J,0),MATCH($B329&amp;$C329,'Smelter Look-up'!$J:$J,0)))</f>
        <v>#N/A</v>
      </c>
      <c r="W329" s="263"/>
      <c r="X329" s="263">
        <f t="shared" si="49"/>
        <v>0</v>
      </c>
      <c r="Y329" s="263"/>
      <c r="Z329" s="263"/>
      <c r="AB329" s="265" t="str">
        <f t="shared" si="50"/>
        <v/>
      </c>
    </row>
    <row r="330" spans="1:28" s="264" customFormat="1" ht="20.399999999999999">
      <c r="A330" s="207"/>
      <c r="B330" s="208"/>
      <c r="C330" s="212"/>
      <c r="D330" s="270"/>
      <c r="E330" s="208"/>
      <c r="F330" s="208"/>
      <c r="G330" s="208"/>
      <c r="H330" s="209"/>
      <c r="I330" s="210"/>
      <c r="J330" s="210"/>
      <c r="K330" s="260"/>
      <c r="L330" s="260"/>
      <c r="M330" s="260"/>
      <c r="N330" s="260"/>
      <c r="O330" s="260"/>
      <c r="P330" s="211"/>
      <c r="Q330" s="261"/>
      <c r="R330" s="208" t="str">
        <f ca="1">IF(ISERROR($V330),"",OFFSET('Smelter Look-up'!$C$4,$V330-4,0)&amp;"")</f>
        <v/>
      </c>
      <c r="S330" s="215" t="str">
        <f t="shared" ca="1" si="48"/>
        <v/>
      </c>
      <c r="T330" s="215" t="str">
        <f ca="1">IF(B330="","",IF(ISERROR(MATCH($J330,SorP!$B$1:$B$6230,0)),"",INDIRECT("'SorP'!$A$"&amp;MATCH($J330,SorP!$B$1:$B$6230,0))))</f>
        <v/>
      </c>
      <c r="U330" s="231"/>
      <c r="V330" s="262" t="e">
        <f>IF(C330="",NA(),IF(OR(C330="Smelter not listed",C330="Smelter not yet identified"),MATCH($B330&amp;$D330,'Smelter Look-up'!$J:$J,0),MATCH($B330&amp;$C330,'Smelter Look-up'!$J:$J,0)))</f>
        <v>#N/A</v>
      </c>
      <c r="W330" s="263"/>
      <c r="X330" s="263">
        <f t="shared" si="49"/>
        <v>0</v>
      </c>
      <c r="Y330" s="263"/>
      <c r="Z330" s="263"/>
      <c r="AB330" s="265" t="str">
        <f t="shared" si="50"/>
        <v/>
      </c>
    </row>
    <row r="331" spans="1:28" s="264" customFormat="1" ht="20.399999999999999">
      <c r="A331" s="207"/>
      <c r="B331" s="208"/>
      <c r="C331" s="212"/>
      <c r="D331" s="270"/>
      <c r="E331" s="208"/>
      <c r="F331" s="208"/>
      <c r="G331" s="208"/>
      <c r="H331" s="209"/>
      <c r="I331" s="210"/>
      <c r="J331" s="210"/>
      <c r="K331" s="260"/>
      <c r="L331" s="260"/>
      <c r="M331" s="260"/>
      <c r="N331" s="260"/>
      <c r="O331" s="260"/>
      <c r="P331" s="211"/>
      <c r="Q331" s="261"/>
      <c r="R331" s="208" t="str">
        <f ca="1">IF(ISERROR($V331),"",OFFSET('Smelter Look-up'!$C$4,$V331-4,0)&amp;"")</f>
        <v/>
      </c>
      <c r="S331" s="215" t="str">
        <f t="shared" ca="1" si="48"/>
        <v/>
      </c>
      <c r="T331" s="215" t="str">
        <f ca="1">IF(B331="","",IF(ISERROR(MATCH($J331,SorP!$B$1:$B$6230,0)),"",INDIRECT("'SorP'!$A$"&amp;MATCH($J331,SorP!$B$1:$B$6230,0))))</f>
        <v/>
      </c>
      <c r="U331" s="231"/>
      <c r="V331" s="262" t="e">
        <f>IF(C331="",NA(),IF(OR(C331="Smelter not listed",C331="Smelter not yet identified"),MATCH($B331&amp;$D331,'Smelter Look-up'!$J:$J,0),MATCH($B331&amp;$C331,'Smelter Look-up'!$J:$J,0)))</f>
        <v>#N/A</v>
      </c>
      <c r="W331" s="263"/>
      <c r="X331" s="263">
        <f t="shared" si="49"/>
        <v>0</v>
      </c>
      <c r="Y331" s="263"/>
      <c r="Z331" s="263"/>
      <c r="AB331" s="265" t="str">
        <f t="shared" si="50"/>
        <v/>
      </c>
    </row>
    <row r="332" spans="1:28" s="264" customFormat="1" ht="20.399999999999999">
      <c r="A332" s="207"/>
      <c r="B332" s="208"/>
      <c r="C332" s="212"/>
      <c r="D332" s="270"/>
      <c r="E332" s="208"/>
      <c r="F332" s="208"/>
      <c r="G332" s="208"/>
      <c r="H332" s="209"/>
      <c r="I332" s="210"/>
      <c r="J332" s="210"/>
      <c r="K332" s="260"/>
      <c r="L332" s="260"/>
      <c r="M332" s="260"/>
      <c r="N332" s="260"/>
      <c r="O332" s="260"/>
      <c r="P332" s="211"/>
      <c r="Q332" s="261"/>
      <c r="R332" s="208" t="str">
        <f ca="1">IF(ISERROR($V332),"",OFFSET('Smelter Look-up'!$C$4,$V332-4,0)&amp;"")</f>
        <v/>
      </c>
      <c r="S332" s="215" t="str">
        <f t="shared" ca="1" si="48"/>
        <v/>
      </c>
      <c r="T332" s="215" t="str">
        <f ca="1">IF(B332="","",IF(ISERROR(MATCH($J332,SorP!$B$1:$B$6230,0)),"",INDIRECT("'SorP'!$A$"&amp;MATCH($J332,SorP!$B$1:$B$6230,0))))</f>
        <v/>
      </c>
      <c r="U332" s="231"/>
      <c r="V332" s="262" t="e">
        <f>IF(C332="",NA(),IF(OR(C332="Smelter not listed",C332="Smelter not yet identified"),MATCH($B332&amp;$D332,'Smelter Look-up'!$J:$J,0),MATCH($B332&amp;$C332,'Smelter Look-up'!$J:$J,0)))</f>
        <v>#N/A</v>
      </c>
      <c r="W332" s="263"/>
      <c r="X332" s="263">
        <f t="shared" si="49"/>
        <v>0</v>
      </c>
      <c r="Y332" s="263"/>
      <c r="Z332" s="263"/>
      <c r="AB332" s="265" t="str">
        <f t="shared" si="50"/>
        <v/>
      </c>
    </row>
    <row r="333" spans="1:28" s="264" customFormat="1" ht="20.399999999999999">
      <c r="A333" s="207"/>
      <c r="B333" s="208"/>
      <c r="C333" s="212"/>
      <c r="D333" s="270"/>
      <c r="E333" s="208"/>
      <c r="F333" s="208"/>
      <c r="G333" s="208"/>
      <c r="H333" s="209"/>
      <c r="I333" s="210"/>
      <c r="J333" s="210"/>
      <c r="K333" s="260"/>
      <c r="L333" s="260"/>
      <c r="M333" s="260"/>
      <c r="N333" s="260"/>
      <c r="O333" s="260"/>
      <c r="P333" s="211"/>
      <c r="Q333" s="261"/>
      <c r="R333" s="208" t="str">
        <f ca="1">IF(ISERROR($V333),"",OFFSET('Smelter Look-up'!$C$4,$V333-4,0)&amp;"")</f>
        <v/>
      </c>
      <c r="S333" s="215" t="str">
        <f t="shared" ca="1" si="48"/>
        <v/>
      </c>
      <c r="T333" s="215" t="str">
        <f ca="1">IF(B333="","",IF(ISERROR(MATCH($J333,SorP!$B$1:$B$6230,0)),"",INDIRECT("'SorP'!$A$"&amp;MATCH($J333,SorP!$B$1:$B$6230,0))))</f>
        <v/>
      </c>
      <c r="U333" s="231"/>
      <c r="V333" s="262" t="e">
        <f>IF(C333="",NA(),IF(OR(C333="Smelter not listed",C333="Smelter not yet identified"),MATCH($B333&amp;$D333,'Smelter Look-up'!$J:$J,0),MATCH($B333&amp;$C333,'Smelter Look-up'!$J:$J,0)))</f>
        <v>#N/A</v>
      </c>
      <c r="W333" s="263"/>
      <c r="X333" s="263">
        <f t="shared" si="49"/>
        <v>0</v>
      </c>
      <c r="Y333" s="263"/>
      <c r="Z333" s="263"/>
      <c r="AB333" s="265" t="str">
        <f t="shared" si="50"/>
        <v/>
      </c>
    </row>
    <row r="334" spans="1:28" s="264" customFormat="1" ht="20.399999999999999">
      <c r="A334" s="207"/>
      <c r="B334" s="208"/>
      <c r="C334" s="212"/>
      <c r="D334" s="270"/>
      <c r="E334" s="208"/>
      <c r="F334" s="208"/>
      <c r="G334" s="208"/>
      <c r="H334" s="209"/>
      <c r="I334" s="210"/>
      <c r="J334" s="210"/>
      <c r="K334" s="260"/>
      <c r="L334" s="260"/>
      <c r="M334" s="260"/>
      <c r="N334" s="260"/>
      <c r="O334" s="260"/>
      <c r="P334" s="211"/>
      <c r="Q334" s="261"/>
      <c r="R334" s="208" t="str">
        <f ca="1">IF(ISERROR($V334),"",OFFSET('Smelter Look-up'!$C$4,$V334-4,0)&amp;"")</f>
        <v/>
      </c>
      <c r="S334" s="215" t="str">
        <f t="shared" ca="1" si="48"/>
        <v/>
      </c>
      <c r="T334" s="215" t="str">
        <f ca="1">IF(B334="","",IF(ISERROR(MATCH($J334,SorP!$B$1:$B$6230,0)),"",INDIRECT("'SorP'!$A$"&amp;MATCH($J334,SorP!$B$1:$B$6230,0))))</f>
        <v/>
      </c>
      <c r="U334" s="231"/>
      <c r="V334" s="262" t="e">
        <f>IF(C334="",NA(),IF(OR(C334="Smelter not listed",C334="Smelter not yet identified"),MATCH($B334&amp;$D334,'Smelter Look-up'!$J:$J,0),MATCH($B334&amp;$C334,'Smelter Look-up'!$J:$J,0)))</f>
        <v>#N/A</v>
      </c>
      <c r="W334" s="263"/>
      <c r="X334" s="263">
        <f t="shared" si="49"/>
        <v>0</v>
      </c>
      <c r="Y334" s="263"/>
      <c r="Z334" s="263"/>
      <c r="AB334" s="265" t="str">
        <f t="shared" si="50"/>
        <v/>
      </c>
    </row>
    <row r="335" spans="1:28" s="264" customFormat="1" ht="20.399999999999999">
      <c r="A335" s="207"/>
      <c r="B335" s="208"/>
      <c r="C335" s="212"/>
      <c r="D335" s="270"/>
      <c r="E335" s="208"/>
      <c r="F335" s="208"/>
      <c r="G335" s="208"/>
      <c r="H335" s="209"/>
      <c r="I335" s="210"/>
      <c r="J335" s="210"/>
      <c r="K335" s="260"/>
      <c r="L335" s="260"/>
      <c r="M335" s="260"/>
      <c r="N335" s="260"/>
      <c r="O335" s="260"/>
      <c r="P335" s="211"/>
      <c r="Q335" s="261"/>
      <c r="R335" s="208" t="str">
        <f ca="1">IF(ISERROR($V335),"",OFFSET('Smelter Look-up'!$C$4,$V335-4,0)&amp;"")</f>
        <v/>
      </c>
      <c r="S335" s="215" t="str">
        <f t="shared" ca="1" si="48"/>
        <v/>
      </c>
      <c r="T335" s="215" t="str">
        <f ca="1">IF(B335="","",IF(ISERROR(MATCH($J335,SorP!$B$1:$B$6230,0)),"",INDIRECT("'SorP'!$A$"&amp;MATCH($J335,SorP!$B$1:$B$6230,0))))</f>
        <v/>
      </c>
      <c r="U335" s="231"/>
      <c r="V335" s="262" t="e">
        <f>IF(C335="",NA(),IF(OR(C335="Smelter not listed",C335="Smelter not yet identified"),MATCH($B335&amp;$D335,'Smelter Look-up'!$J:$J,0),MATCH($B335&amp;$C335,'Smelter Look-up'!$J:$J,0)))</f>
        <v>#N/A</v>
      </c>
      <c r="W335" s="263"/>
      <c r="X335" s="263">
        <f t="shared" si="49"/>
        <v>0</v>
      </c>
      <c r="Y335" s="263"/>
      <c r="Z335" s="263"/>
      <c r="AB335" s="265" t="str">
        <f t="shared" si="50"/>
        <v/>
      </c>
    </row>
    <row r="336" spans="1:28" s="264" customFormat="1" ht="20.399999999999999">
      <c r="A336" s="207"/>
      <c r="B336" s="208"/>
      <c r="C336" s="212"/>
      <c r="D336" s="270"/>
      <c r="E336" s="208"/>
      <c r="F336" s="208"/>
      <c r="G336" s="208"/>
      <c r="H336" s="209"/>
      <c r="I336" s="210"/>
      <c r="J336" s="210"/>
      <c r="K336" s="260"/>
      <c r="L336" s="260"/>
      <c r="M336" s="260"/>
      <c r="N336" s="260"/>
      <c r="O336" s="260"/>
      <c r="P336" s="211"/>
      <c r="Q336" s="261"/>
      <c r="R336" s="208" t="str">
        <f ca="1">IF(ISERROR($V336),"",OFFSET('Smelter Look-up'!$C$4,$V336-4,0)&amp;"")</f>
        <v/>
      </c>
      <c r="S336" s="215" t="str">
        <f t="shared" ca="1" si="48"/>
        <v/>
      </c>
      <c r="T336" s="215" t="str">
        <f ca="1">IF(B336="","",IF(ISERROR(MATCH($J336,SorP!$B$1:$B$6230,0)),"",INDIRECT("'SorP'!$A$"&amp;MATCH($J336,SorP!$B$1:$B$6230,0))))</f>
        <v/>
      </c>
      <c r="U336" s="231"/>
      <c r="V336" s="262" t="e">
        <f>IF(C336="",NA(),IF(OR(C336="Smelter not listed",C336="Smelter not yet identified"),MATCH($B336&amp;$D336,'Smelter Look-up'!$J:$J,0),MATCH($B336&amp;$C336,'Smelter Look-up'!$J:$J,0)))</f>
        <v>#N/A</v>
      </c>
      <c r="W336" s="263"/>
      <c r="X336" s="263">
        <f t="shared" si="49"/>
        <v>0</v>
      </c>
      <c r="Y336" s="263"/>
      <c r="Z336" s="263"/>
      <c r="AB336" s="265" t="str">
        <f t="shared" si="50"/>
        <v/>
      </c>
    </row>
    <row r="337" spans="1:28" s="264" customFormat="1" ht="20.399999999999999">
      <c r="A337" s="207"/>
      <c r="B337" s="208"/>
      <c r="C337" s="212"/>
      <c r="D337" s="270"/>
      <c r="E337" s="208"/>
      <c r="F337" s="208"/>
      <c r="G337" s="208"/>
      <c r="H337" s="209"/>
      <c r="I337" s="210"/>
      <c r="J337" s="210"/>
      <c r="K337" s="260"/>
      <c r="L337" s="260"/>
      <c r="M337" s="260"/>
      <c r="N337" s="260"/>
      <c r="O337" s="260"/>
      <c r="P337" s="211"/>
      <c r="Q337" s="261"/>
      <c r="R337" s="208" t="str">
        <f ca="1">IF(ISERROR($V337),"",OFFSET('Smelter Look-up'!$C$4,$V337-4,0)&amp;"")</f>
        <v/>
      </c>
      <c r="S337" s="215" t="str">
        <f t="shared" ca="1" si="48"/>
        <v/>
      </c>
      <c r="T337" s="215" t="str">
        <f ca="1">IF(B337="","",IF(ISERROR(MATCH($J337,SorP!$B$1:$B$6230,0)),"",INDIRECT("'SorP'!$A$"&amp;MATCH($J337,SorP!$B$1:$B$6230,0))))</f>
        <v/>
      </c>
      <c r="U337" s="231"/>
      <c r="V337" s="262" t="e">
        <f>IF(C337="",NA(),IF(OR(C337="Smelter not listed",C337="Smelter not yet identified"),MATCH($B337&amp;$D337,'Smelter Look-up'!$J:$J,0),MATCH($B337&amp;$C337,'Smelter Look-up'!$J:$J,0)))</f>
        <v>#N/A</v>
      </c>
      <c r="W337" s="263"/>
      <c r="X337" s="263">
        <f t="shared" si="49"/>
        <v>0</v>
      </c>
      <c r="Y337" s="263"/>
      <c r="Z337" s="263"/>
      <c r="AB337" s="265" t="str">
        <f t="shared" si="50"/>
        <v/>
      </c>
    </row>
    <row r="338" spans="1:28" s="264" customFormat="1" ht="20.399999999999999">
      <c r="A338" s="207"/>
      <c r="B338" s="208"/>
      <c r="C338" s="212"/>
      <c r="D338" s="270"/>
      <c r="E338" s="208"/>
      <c r="F338" s="208"/>
      <c r="G338" s="208"/>
      <c r="H338" s="209"/>
      <c r="I338" s="210"/>
      <c r="J338" s="210"/>
      <c r="K338" s="260"/>
      <c r="L338" s="260"/>
      <c r="M338" s="260"/>
      <c r="N338" s="260"/>
      <c r="O338" s="260"/>
      <c r="P338" s="211"/>
      <c r="Q338" s="261"/>
      <c r="R338" s="208" t="str">
        <f ca="1">IF(ISERROR($V338),"",OFFSET('Smelter Look-up'!$C$4,$V338-4,0)&amp;"")</f>
        <v/>
      </c>
      <c r="S338" s="215" t="str">
        <f t="shared" ca="1" si="48"/>
        <v/>
      </c>
      <c r="T338" s="215" t="str">
        <f ca="1">IF(B338="","",IF(ISERROR(MATCH($J338,SorP!$B$1:$B$6230,0)),"",INDIRECT("'SorP'!$A$"&amp;MATCH($J338,SorP!$B$1:$B$6230,0))))</f>
        <v/>
      </c>
      <c r="U338" s="231"/>
      <c r="V338" s="262" t="e">
        <f>IF(C338="",NA(),IF(OR(C338="Smelter not listed",C338="Smelter not yet identified"),MATCH($B338&amp;$D338,'Smelter Look-up'!$J:$J,0),MATCH($B338&amp;$C338,'Smelter Look-up'!$J:$J,0)))</f>
        <v>#N/A</v>
      </c>
      <c r="W338" s="263"/>
      <c r="X338" s="263">
        <f t="shared" si="49"/>
        <v>0</v>
      </c>
      <c r="Y338" s="263"/>
      <c r="Z338" s="263"/>
      <c r="AB338" s="265" t="str">
        <f t="shared" si="50"/>
        <v/>
      </c>
    </row>
    <row r="339" spans="1:28" s="264" customFormat="1" ht="20.399999999999999">
      <c r="A339" s="207"/>
      <c r="B339" s="208"/>
      <c r="C339" s="212"/>
      <c r="D339" s="270"/>
      <c r="E339" s="208"/>
      <c r="F339" s="208"/>
      <c r="G339" s="208"/>
      <c r="H339" s="209"/>
      <c r="I339" s="210"/>
      <c r="J339" s="210"/>
      <c r="K339" s="260"/>
      <c r="L339" s="260"/>
      <c r="M339" s="260"/>
      <c r="N339" s="260"/>
      <c r="O339" s="260"/>
      <c r="P339" s="211"/>
      <c r="Q339" s="261"/>
      <c r="R339" s="208" t="str">
        <f ca="1">IF(ISERROR($V339),"",OFFSET('Smelter Look-up'!$C$4,$V339-4,0)&amp;"")</f>
        <v/>
      </c>
      <c r="S339" s="215" t="str">
        <f t="shared" ca="1" si="48"/>
        <v/>
      </c>
      <c r="T339" s="215" t="str">
        <f ca="1">IF(B339="","",IF(ISERROR(MATCH($J339,SorP!$B$1:$B$6230,0)),"",INDIRECT("'SorP'!$A$"&amp;MATCH($J339,SorP!$B$1:$B$6230,0))))</f>
        <v/>
      </c>
      <c r="U339" s="231"/>
      <c r="V339" s="262" t="e">
        <f>IF(C339="",NA(),IF(OR(C339="Smelter not listed",C339="Smelter not yet identified"),MATCH($B339&amp;$D339,'Smelter Look-up'!$J:$J,0),MATCH($B339&amp;$C339,'Smelter Look-up'!$J:$J,0)))</f>
        <v>#N/A</v>
      </c>
      <c r="W339" s="263"/>
      <c r="X339" s="263">
        <f t="shared" si="49"/>
        <v>0</v>
      </c>
      <c r="Y339" s="263"/>
      <c r="Z339" s="263"/>
      <c r="AB339" s="265" t="str">
        <f t="shared" si="50"/>
        <v/>
      </c>
    </row>
    <row r="340" spans="1:28" s="264" customFormat="1" ht="20.399999999999999">
      <c r="A340" s="207"/>
      <c r="B340" s="208"/>
      <c r="C340" s="212"/>
      <c r="D340" s="270"/>
      <c r="E340" s="208"/>
      <c r="F340" s="208"/>
      <c r="G340" s="208"/>
      <c r="H340" s="209"/>
      <c r="I340" s="210"/>
      <c r="J340" s="210"/>
      <c r="K340" s="260"/>
      <c r="L340" s="260"/>
      <c r="M340" s="260"/>
      <c r="N340" s="260"/>
      <c r="O340" s="260"/>
      <c r="P340" s="211"/>
      <c r="Q340" s="261"/>
      <c r="R340" s="208" t="str">
        <f ca="1">IF(ISERROR($V340),"",OFFSET('Smelter Look-up'!$C$4,$V340-4,0)&amp;"")</f>
        <v/>
      </c>
      <c r="S340" s="215" t="str">
        <f t="shared" ca="1" si="48"/>
        <v/>
      </c>
      <c r="T340" s="215" t="str">
        <f ca="1">IF(B340="","",IF(ISERROR(MATCH($J340,SorP!$B$1:$B$6230,0)),"",INDIRECT("'SorP'!$A$"&amp;MATCH($J340,SorP!$B$1:$B$6230,0))))</f>
        <v/>
      </c>
      <c r="U340" s="231"/>
      <c r="V340" s="262" t="e">
        <f>IF(C340="",NA(),IF(OR(C340="Smelter not listed",C340="Smelter not yet identified"),MATCH($B340&amp;$D340,'Smelter Look-up'!$J:$J,0),MATCH($B340&amp;$C340,'Smelter Look-up'!$J:$J,0)))</f>
        <v>#N/A</v>
      </c>
      <c r="W340" s="263"/>
      <c r="X340" s="263">
        <f t="shared" si="49"/>
        <v>0</v>
      </c>
      <c r="Y340" s="263"/>
      <c r="Z340" s="263"/>
      <c r="AB340" s="265" t="str">
        <f t="shared" si="50"/>
        <v/>
      </c>
    </row>
    <row r="341" spans="1:28" s="264" customFormat="1" ht="20.399999999999999">
      <c r="A341" s="207"/>
      <c r="B341" s="208"/>
      <c r="C341" s="212"/>
      <c r="D341" s="270"/>
      <c r="E341" s="208"/>
      <c r="F341" s="208"/>
      <c r="G341" s="208"/>
      <c r="H341" s="209"/>
      <c r="I341" s="210"/>
      <c r="J341" s="210"/>
      <c r="K341" s="260"/>
      <c r="L341" s="260"/>
      <c r="M341" s="260"/>
      <c r="N341" s="260"/>
      <c r="O341" s="260"/>
      <c r="P341" s="211"/>
      <c r="Q341" s="261"/>
      <c r="R341" s="208" t="str">
        <f ca="1">IF(ISERROR($V341),"",OFFSET('Smelter Look-up'!$C$4,$V341-4,0)&amp;"")</f>
        <v/>
      </c>
      <c r="S341" s="215" t="str">
        <f t="shared" ca="1" si="48"/>
        <v/>
      </c>
      <c r="T341" s="215" t="str">
        <f ca="1">IF(B341="","",IF(ISERROR(MATCH($J341,SorP!$B$1:$B$6230,0)),"",INDIRECT("'SorP'!$A$"&amp;MATCH($J341,SorP!$B$1:$B$6230,0))))</f>
        <v/>
      </c>
      <c r="U341" s="231"/>
      <c r="V341" s="262" t="e">
        <f>IF(C341="",NA(),IF(OR(C341="Smelter not listed",C341="Smelter not yet identified"),MATCH($B341&amp;$D341,'Smelter Look-up'!$J:$J,0),MATCH($B341&amp;$C341,'Smelter Look-up'!$J:$J,0)))</f>
        <v>#N/A</v>
      </c>
      <c r="W341" s="263"/>
      <c r="X341" s="263">
        <f t="shared" si="49"/>
        <v>0</v>
      </c>
      <c r="Y341" s="263"/>
      <c r="Z341" s="263"/>
      <c r="AB341" s="265" t="str">
        <f t="shared" si="50"/>
        <v/>
      </c>
    </row>
    <row r="342" spans="1:28" s="264" customFormat="1" ht="20.399999999999999">
      <c r="A342" s="207"/>
      <c r="B342" s="208"/>
      <c r="C342" s="212"/>
      <c r="D342" s="270"/>
      <c r="E342" s="208"/>
      <c r="F342" s="208"/>
      <c r="G342" s="208"/>
      <c r="H342" s="209"/>
      <c r="I342" s="210"/>
      <c r="J342" s="210"/>
      <c r="K342" s="260"/>
      <c r="L342" s="260"/>
      <c r="M342" s="260"/>
      <c r="N342" s="260"/>
      <c r="O342" s="260"/>
      <c r="P342" s="211"/>
      <c r="Q342" s="261"/>
      <c r="R342" s="208" t="str">
        <f ca="1">IF(ISERROR($V342),"",OFFSET('Smelter Look-up'!$C$4,$V342-4,0)&amp;"")</f>
        <v/>
      </c>
      <c r="S342" s="215" t="str">
        <f t="shared" ca="1" si="48"/>
        <v/>
      </c>
      <c r="T342" s="215" t="str">
        <f ca="1">IF(B342="","",IF(ISERROR(MATCH($J342,SorP!$B$1:$B$6230,0)),"",INDIRECT("'SorP'!$A$"&amp;MATCH($J342,SorP!$B$1:$B$6230,0))))</f>
        <v/>
      </c>
      <c r="U342" s="231"/>
      <c r="V342" s="262" t="e">
        <f>IF(C342="",NA(),IF(OR(C342="Smelter not listed",C342="Smelter not yet identified"),MATCH($B342&amp;$D342,'Smelter Look-up'!$J:$J,0),MATCH($B342&amp;$C342,'Smelter Look-up'!$J:$J,0)))</f>
        <v>#N/A</v>
      </c>
      <c r="W342" s="263"/>
      <c r="X342" s="263">
        <f t="shared" si="49"/>
        <v>0</v>
      </c>
      <c r="Y342" s="263"/>
      <c r="Z342" s="263"/>
      <c r="AB342" s="265" t="str">
        <f t="shared" si="50"/>
        <v/>
      </c>
    </row>
    <row r="343" spans="1:28" s="264" customFormat="1" ht="20.399999999999999">
      <c r="A343" s="207"/>
      <c r="B343" s="208"/>
      <c r="C343" s="212"/>
      <c r="D343" s="270"/>
      <c r="E343" s="208"/>
      <c r="F343" s="208"/>
      <c r="G343" s="208"/>
      <c r="H343" s="209"/>
      <c r="I343" s="210"/>
      <c r="J343" s="210"/>
      <c r="K343" s="260"/>
      <c r="L343" s="260"/>
      <c r="M343" s="260"/>
      <c r="N343" s="260"/>
      <c r="O343" s="260"/>
      <c r="P343" s="211"/>
      <c r="Q343" s="261"/>
      <c r="R343" s="208" t="str">
        <f ca="1">IF(ISERROR($V343),"",OFFSET('Smelter Look-up'!$C$4,$V343-4,0)&amp;"")</f>
        <v/>
      </c>
      <c r="S343" s="215" t="str">
        <f t="shared" ca="1" si="48"/>
        <v/>
      </c>
      <c r="T343" s="215" t="str">
        <f ca="1">IF(B343="","",IF(ISERROR(MATCH($J343,SorP!$B$1:$B$6230,0)),"",INDIRECT("'SorP'!$A$"&amp;MATCH($J343,SorP!$B$1:$B$6230,0))))</f>
        <v/>
      </c>
      <c r="U343" s="231"/>
      <c r="V343" s="262" t="e">
        <f>IF(C343="",NA(),IF(OR(C343="Smelter not listed",C343="Smelter not yet identified"),MATCH($B343&amp;$D343,'Smelter Look-up'!$J:$J,0),MATCH($B343&amp;$C343,'Smelter Look-up'!$J:$J,0)))</f>
        <v>#N/A</v>
      </c>
      <c r="W343" s="263"/>
      <c r="X343" s="263">
        <f t="shared" si="49"/>
        <v>0</v>
      </c>
      <c r="Y343" s="263"/>
      <c r="Z343" s="263"/>
      <c r="AB343" s="265" t="str">
        <f t="shared" si="50"/>
        <v/>
      </c>
    </row>
    <row r="344" spans="1:28" s="264" customFormat="1" ht="20.399999999999999">
      <c r="A344" s="207"/>
      <c r="B344" s="208"/>
      <c r="C344" s="212"/>
      <c r="D344" s="270"/>
      <c r="E344" s="208"/>
      <c r="F344" s="208"/>
      <c r="G344" s="208"/>
      <c r="H344" s="209"/>
      <c r="I344" s="210"/>
      <c r="J344" s="210"/>
      <c r="K344" s="260"/>
      <c r="L344" s="260"/>
      <c r="M344" s="260"/>
      <c r="N344" s="260"/>
      <c r="O344" s="260"/>
      <c r="P344" s="211"/>
      <c r="Q344" s="261"/>
      <c r="R344" s="208" t="str">
        <f ca="1">IF(ISERROR($V344),"",OFFSET('Smelter Look-up'!$C$4,$V344-4,0)&amp;"")</f>
        <v/>
      </c>
      <c r="S344" s="215" t="str">
        <f t="shared" ca="1" si="48"/>
        <v/>
      </c>
      <c r="T344" s="215" t="str">
        <f ca="1">IF(B344="","",IF(ISERROR(MATCH($J344,SorP!$B$1:$B$6230,0)),"",INDIRECT("'SorP'!$A$"&amp;MATCH($J344,SorP!$B$1:$B$6230,0))))</f>
        <v/>
      </c>
      <c r="U344" s="231"/>
      <c r="V344" s="262" t="e">
        <f>IF(C344="",NA(),IF(OR(C344="Smelter not listed",C344="Smelter not yet identified"),MATCH($B344&amp;$D344,'Smelter Look-up'!$J:$J,0),MATCH($B344&amp;$C344,'Smelter Look-up'!$J:$J,0)))</f>
        <v>#N/A</v>
      </c>
      <c r="W344" s="263"/>
      <c r="X344" s="263">
        <f t="shared" si="49"/>
        <v>0</v>
      </c>
      <c r="Y344" s="263"/>
      <c r="Z344" s="263"/>
      <c r="AB344" s="265" t="str">
        <f t="shared" si="50"/>
        <v/>
      </c>
    </row>
    <row r="345" spans="1:28" s="264" customFormat="1" ht="20.399999999999999">
      <c r="A345" s="207"/>
      <c r="B345" s="208"/>
      <c r="C345" s="212"/>
      <c r="D345" s="270"/>
      <c r="E345" s="208"/>
      <c r="F345" s="208"/>
      <c r="G345" s="208"/>
      <c r="H345" s="209"/>
      <c r="I345" s="210"/>
      <c r="J345" s="210"/>
      <c r="K345" s="260"/>
      <c r="L345" s="260"/>
      <c r="M345" s="260"/>
      <c r="N345" s="260"/>
      <c r="O345" s="260"/>
      <c r="P345" s="211"/>
      <c r="Q345" s="261"/>
      <c r="R345" s="208" t="str">
        <f ca="1">IF(ISERROR($V345),"",OFFSET('Smelter Look-up'!$C$4,$V345-4,0)&amp;"")</f>
        <v/>
      </c>
      <c r="S345" s="215" t="str">
        <f t="shared" ca="1" si="48"/>
        <v/>
      </c>
      <c r="T345" s="215" t="str">
        <f ca="1">IF(B345="","",IF(ISERROR(MATCH($J345,SorP!$B$1:$B$6230,0)),"",INDIRECT("'SorP'!$A$"&amp;MATCH($J345,SorP!$B$1:$B$6230,0))))</f>
        <v/>
      </c>
      <c r="U345" s="231"/>
      <c r="V345" s="262" t="e">
        <f>IF(C345="",NA(),IF(OR(C345="Smelter not listed",C345="Smelter not yet identified"),MATCH($B345&amp;$D345,'Smelter Look-up'!$J:$J,0),MATCH($B345&amp;$C345,'Smelter Look-up'!$J:$J,0)))</f>
        <v>#N/A</v>
      </c>
      <c r="W345" s="263"/>
      <c r="X345" s="263">
        <f t="shared" si="49"/>
        <v>0</v>
      </c>
      <c r="Y345" s="263"/>
      <c r="Z345" s="263"/>
      <c r="AB345" s="265" t="str">
        <f t="shared" si="50"/>
        <v/>
      </c>
    </row>
    <row r="346" spans="1:28" s="264" customFormat="1" ht="20.399999999999999">
      <c r="A346" s="207"/>
      <c r="B346" s="208"/>
      <c r="C346" s="212"/>
      <c r="D346" s="270"/>
      <c r="E346" s="208"/>
      <c r="F346" s="208"/>
      <c r="G346" s="208"/>
      <c r="H346" s="209"/>
      <c r="I346" s="210"/>
      <c r="J346" s="210"/>
      <c r="K346" s="260"/>
      <c r="L346" s="260"/>
      <c r="M346" s="260"/>
      <c r="N346" s="260"/>
      <c r="O346" s="260"/>
      <c r="P346" s="211"/>
      <c r="Q346" s="261"/>
      <c r="R346" s="208" t="str">
        <f ca="1">IF(ISERROR($V346),"",OFFSET('Smelter Look-up'!$C$4,$V346-4,0)&amp;"")</f>
        <v/>
      </c>
      <c r="S346" s="215" t="str">
        <f t="shared" ca="1" si="48"/>
        <v/>
      </c>
      <c r="T346" s="215" t="str">
        <f ca="1">IF(B346="","",IF(ISERROR(MATCH($J346,SorP!$B$1:$B$6230,0)),"",INDIRECT("'SorP'!$A$"&amp;MATCH($J346,SorP!$B$1:$B$6230,0))))</f>
        <v/>
      </c>
      <c r="U346" s="231"/>
      <c r="V346" s="262" t="e">
        <f>IF(C346="",NA(),IF(OR(C346="Smelter not listed",C346="Smelter not yet identified"),MATCH($B346&amp;$D346,'Smelter Look-up'!$J:$J,0),MATCH($B346&amp;$C346,'Smelter Look-up'!$J:$J,0)))</f>
        <v>#N/A</v>
      </c>
      <c r="W346" s="263"/>
      <c r="X346" s="263">
        <f t="shared" si="49"/>
        <v>0</v>
      </c>
      <c r="Y346" s="263"/>
      <c r="Z346" s="263"/>
      <c r="AB346" s="265" t="str">
        <f t="shared" si="50"/>
        <v/>
      </c>
    </row>
    <row r="347" spans="1:28" s="264" customFormat="1" ht="20.399999999999999">
      <c r="A347" s="207"/>
      <c r="B347" s="208"/>
      <c r="C347" s="212"/>
      <c r="D347" s="270"/>
      <c r="E347" s="208"/>
      <c r="F347" s="208"/>
      <c r="G347" s="208"/>
      <c r="H347" s="209"/>
      <c r="I347" s="210"/>
      <c r="J347" s="210"/>
      <c r="K347" s="260"/>
      <c r="L347" s="260"/>
      <c r="M347" s="260"/>
      <c r="N347" s="260"/>
      <c r="O347" s="260"/>
      <c r="P347" s="211"/>
      <c r="Q347" s="261"/>
      <c r="R347" s="208" t="str">
        <f ca="1">IF(ISERROR($V347),"",OFFSET('Smelter Look-up'!$C$4,$V347-4,0)&amp;"")</f>
        <v/>
      </c>
      <c r="S347" s="215" t="str">
        <f t="shared" ca="1" si="48"/>
        <v/>
      </c>
      <c r="T347" s="215" t="str">
        <f ca="1">IF(B347="","",IF(ISERROR(MATCH($J347,SorP!$B$1:$B$6230,0)),"",INDIRECT("'SorP'!$A$"&amp;MATCH($J347,SorP!$B$1:$B$6230,0))))</f>
        <v/>
      </c>
      <c r="U347" s="231"/>
      <c r="V347" s="262" t="e">
        <f>IF(C347="",NA(),IF(OR(C347="Smelter not listed",C347="Smelter not yet identified"),MATCH($B347&amp;$D347,'Smelter Look-up'!$J:$J,0),MATCH($B347&amp;$C347,'Smelter Look-up'!$J:$J,0)))</f>
        <v>#N/A</v>
      </c>
      <c r="W347" s="263"/>
      <c r="X347" s="263">
        <f t="shared" si="49"/>
        <v>0</v>
      </c>
      <c r="Y347" s="263"/>
      <c r="Z347" s="263"/>
      <c r="AB347" s="265" t="str">
        <f t="shared" si="50"/>
        <v/>
      </c>
    </row>
    <row r="348" spans="1:28" s="264" customFormat="1" ht="20.399999999999999">
      <c r="A348" s="207"/>
      <c r="B348" s="208"/>
      <c r="C348" s="212"/>
      <c r="D348" s="270"/>
      <c r="E348" s="208"/>
      <c r="F348" s="208"/>
      <c r="G348" s="208"/>
      <c r="H348" s="209"/>
      <c r="I348" s="210"/>
      <c r="J348" s="210"/>
      <c r="K348" s="260"/>
      <c r="L348" s="260"/>
      <c r="M348" s="260"/>
      <c r="N348" s="260"/>
      <c r="O348" s="260"/>
      <c r="P348" s="211"/>
      <c r="Q348" s="261"/>
      <c r="R348" s="208" t="str">
        <f ca="1">IF(ISERROR($V348),"",OFFSET('Smelter Look-up'!$C$4,$V348-4,0)&amp;"")</f>
        <v/>
      </c>
      <c r="S348" s="215" t="str">
        <f t="shared" ca="1" si="48"/>
        <v/>
      </c>
      <c r="T348" s="215" t="str">
        <f ca="1">IF(B348="","",IF(ISERROR(MATCH($J348,SorP!$B$1:$B$6230,0)),"",INDIRECT("'SorP'!$A$"&amp;MATCH($J348,SorP!$B$1:$B$6230,0))))</f>
        <v/>
      </c>
      <c r="U348" s="231"/>
      <c r="V348" s="262" t="e">
        <f>IF(C348="",NA(),IF(OR(C348="Smelter not listed",C348="Smelter not yet identified"),MATCH($B348&amp;$D348,'Smelter Look-up'!$J:$J,0),MATCH($B348&amp;$C348,'Smelter Look-up'!$J:$J,0)))</f>
        <v>#N/A</v>
      </c>
      <c r="W348" s="263"/>
      <c r="X348" s="263">
        <f t="shared" si="49"/>
        <v>0</v>
      </c>
      <c r="Y348" s="263"/>
      <c r="Z348" s="263"/>
      <c r="AB348" s="265" t="str">
        <f t="shared" si="50"/>
        <v/>
      </c>
    </row>
    <row r="349" spans="1:28" s="264" customFormat="1" ht="20.399999999999999">
      <c r="A349" s="207"/>
      <c r="B349" s="208"/>
      <c r="C349" s="212"/>
      <c r="D349" s="270"/>
      <c r="E349" s="208"/>
      <c r="F349" s="208"/>
      <c r="G349" s="208"/>
      <c r="H349" s="209"/>
      <c r="I349" s="210"/>
      <c r="J349" s="210"/>
      <c r="K349" s="260"/>
      <c r="L349" s="260"/>
      <c r="M349" s="260"/>
      <c r="N349" s="260"/>
      <c r="O349" s="260"/>
      <c r="P349" s="211"/>
      <c r="Q349" s="261"/>
      <c r="R349" s="208" t="str">
        <f ca="1">IF(ISERROR($V349),"",OFFSET('Smelter Look-up'!$C$4,$V349-4,0)&amp;"")</f>
        <v/>
      </c>
      <c r="S349" s="215" t="str">
        <f t="shared" ca="1" si="48"/>
        <v/>
      </c>
      <c r="T349" s="215" t="str">
        <f ca="1">IF(B349="","",IF(ISERROR(MATCH($J349,SorP!$B$1:$B$6230,0)),"",INDIRECT("'SorP'!$A$"&amp;MATCH($J349,SorP!$B$1:$B$6230,0))))</f>
        <v/>
      </c>
      <c r="U349" s="231"/>
      <c r="V349" s="262" t="e">
        <f>IF(C349="",NA(),IF(OR(C349="Smelter not listed",C349="Smelter not yet identified"),MATCH($B349&amp;$D349,'Smelter Look-up'!$J:$J,0),MATCH($B349&amp;$C349,'Smelter Look-up'!$J:$J,0)))</f>
        <v>#N/A</v>
      </c>
      <c r="W349" s="263"/>
      <c r="X349" s="263">
        <f t="shared" si="49"/>
        <v>0</v>
      </c>
      <c r="Y349" s="263"/>
      <c r="Z349" s="263"/>
      <c r="AB349" s="265" t="str">
        <f t="shared" si="50"/>
        <v/>
      </c>
    </row>
    <row r="350" spans="1:28" s="264" customFormat="1" ht="20.399999999999999">
      <c r="A350" s="207"/>
      <c r="B350" s="208"/>
      <c r="C350" s="212"/>
      <c r="D350" s="270"/>
      <c r="E350" s="208"/>
      <c r="F350" s="208"/>
      <c r="G350" s="208"/>
      <c r="H350" s="209"/>
      <c r="I350" s="210"/>
      <c r="J350" s="210"/>
      <c r="K350" s="260"/>
      <c r="L350" s="260"/>
      <c r="M350" s="260"/>
      <c r="N350" s="260"/>
      <c r="O350" s="260"/>
      <c r="P350" s="211"/>
      <c r="Q350" s="261"/>
      <c r="R350" s="208" t="str">
        <f ca="1">IF(ISERROR($V350),"",OFFSET('Smelter Look-up'!$C$4,$V350-4,0)&amp;"")</f>
        <v/>
      </c>
      <c r="S350" s="215" t="str">
        <f t="shared" ca="1" si="48"/>
        <v/>
      </c>
      <c r="T350" s="215" t="str">
        <f ca="1">IF(B350="","",IF(ISERROR(MATCH($J350,SorP!$B$1:$B$6230,0)),"",INDIRECT("'SorP'!$A$"&amp;MATCH($J350,SorP!$B$1:$B$6230,0))))</f>
        <v/>
      </c>
      <c r="U350" s="231"/>
      <c r="V350" s="262" t="e">
        <f>IF(C350="",NA(),IF(OR(C350="Smelter not listed",C350="Smelter not yet identified"),MATCH($B350&amp;$D350,'Smelter Look-up'!$J:$J,0),MATCH($B350&amp;$C350,'Smelter Look-up'!$J:$J,0)))</f>
        <v>#N/A</v>
      </c>
      <c r="W350" s="263"/>
      <c r="X350" s="263">
        <f t="shared" si="49"/>
        <v>0</v>
      </c>
      <c r="Y350" s="263"/>
      <c r="Z350" s="263"/>
      <c r="AB350" s="265" t="str">
        <f t="shared" si="50"/>
        <v/>
      </c>
    </row>
    <row r="351" spans="1:28" s="264" customFormat="1" ht="20.399999999999999">
      <c r="A351" s="207"/>
      <c r="B351" s="208"/>
      <c r="C351" s="212"/>
      <c r="D351" s="270"/>
      <c r="E351" s="208"/>
      <c r="F351" s="208"/>
      <c r="G351" s="208"/>
      <c r="H351" s="209"/>
      <c r="I351" s="210"/>
      <c r="J351" s="210"/>
      <c r="K351" s="260"/>
      <c r="L351" s="260"/>
      <c r="M351" s="260"/>
      <c r="N351" s="260"/>
      <c r="O351" s="260"/>
      <c r="P351" s="211"/>
      <c r="Q351" s="261"/>
      <c r="R351" s="208" t="str">
        <f ca="1">IF(ISERROR($V351),"",OFFSET('Smelter Look-up'!$C$4,$V351-4,0)&amp;"")</f>
        <v/>
      </c>
      <c r="S351" s="215" t="str">
        <f t="shared" ca="1" si="48"/>
        <v/>
      </c>
      <c r="T351" s="215" t="str">
        <f ca="1">IF(B351="","",IF(ISERROR(MATCH($J351,SorP!$B$1:$B$6230,0)),"",INDIRECT("'SorP'!$A$"&amp;MATCH($J351,SorP!$B$1:$B$6230,0))))</f>
        <v/>
      </c>
      <c r="U351" s="231"/>
      <c r="V351" s="262" t="e">
        <f>IF(C351="",NA(),IF(OR(C351="Smelter not listed",C351="Smelter not yet identified"),MATCH($B351&amp;$D351,'Smelter Look-up'!$J:$J,0),MATCH($B351&amp;$C351,'Smelter Look-up'!$J:$J,0)))</f>
        <v>#N/A</v>
      </c>
      <c r="W351" s="263"/>
      <c r="X351" s="263">
        <f t="shared" si="49"/>
        <v>0</v>
      </c>
      <c r="Y351" s="263"/>
      <c r="Z351" s="263"/>
      <c r="AB351" s="265" t="str">
        <f t="shared" si="50"/>
        <v/>
      </c>
    </row>
    <row r="352" spans="1:28" s="264" customFormat="1" ht="20.399999999999999">
      <c r="A352" s="207"/>
      <c r="B352" s="208"/>
      <c r="C352" s="212"/>
      <c r="D352" s="270"/>
      <c r="E352" s="208"/>
      <c r="F352" s="208"/>
      <c r="G352" s="208"/>
      <c r="H352" s="209"/>
      <c r="I352" s="210"/>
      <c r="J352" s="210"/>
      <c r="K352" s="260"/>
      <c r="L352" s="260"/>
      <c r="M352" s="260"/>
      <c r="N352" s="260"/>
      <c r="O352" s="260"/>
      <c r="P352" s="211"/>
      <c r="Q352" s="261"/>
      <c r="R352" s="208" t="str">
        <f ca="1">IF(ISERROR($V352),"",OFFSET('Smelter Look-up'!$C$4,$V352-4,0)&amp;"")</f>
        <v/>
      </c>
      <c r="S352" s="215" t="str">
        <f t="shared" ca="1" si="48"/>
        <v/>
      </c>
      <c r="T352" s="215" t="str">
        <f ca="1">IF(B352="","",IF(ISERROR(MATCH($J352,SorP!$B$1:$B$6230,0)),"",INDIRECT("'SorP'!$A$"&amp;MATCH($J352,SorP!$B$1:$B$6230,0))))</f>
        <v/>
      </c>
      <c r="U352" s="231"/>
      <c r="V352" s="262" t="e">
        <f>IF(C352="",NA(),IF(OR(C352="Smelter not listed",C352="Smelter not yet identified"),MATCH($B352&amp;$D352,'Smelter Look-up'!$J:$J,0),MATCH($B352&amp;$C352,'Smelter Look-up'!$J:$J,0)))</f>
        <v>#N/A</v>
      </c>
      <c r="W352" s="263"/>
      <c r="X352" s="263">
        <f t="shared" si="49"/>
        <v>0</v>
      </c>
      <c r="Y352" s="263"/>
      <c r="Z352" s="263"/>
      <c r="AB352" s="265" t="str">
        <f t="shared" si="50"/>
        <v/>
      </c>
    </row>
    <row r="353" spans="1:28" s="264" customFormat="1" ht="20.399999999999999">
      <c r="A353" s="207"/>
      <c r="B353" s="208"/>
      <c r="C353" s="212"/>
      <c r="D353" s="270"/>
      <c r="E353" s="208"/>
      <c r="F353" s="208"/>
      <c r="G353" s="208"/>
      <c r="H353" s="209"/>
      <c r="I353" s="210"/>
      <c r="J353" s="210"/>
      <c r="K353" s="260"/>
      <c r="L353" s="260"/>
      <c r="M353" s="260"/>
      <c r="N353" s="260"/>
      <c r="O353" s="260"/>
      <c r="P353" s="211"/>
      <c r="Q353" s="261"/>
      <c r="R353" s="208" t="str">
        <f ca="1">IF(ISERROR($V353),"",OFFSET('Smelter Look-up'!$C$4,$V353-4,0)&amp;"")</f>
        <v/>
      </c>
      <c r="S353" s="215" t="str">
        <f t="shared" ca="1" si="48"/>
        <v/>
      </c>
      <c r="T353" s="215" t="str">
        <f ca="1">IF(B353="","",IF(ISERROR(MATCH($J353,SorP!$B$1:$B$6230,0)),"",INDIRECT("'SorP'!$A$"&amp;MATCH($J353,SorP!$B$1:$B$6230,0))))</f>
        <v/>
      </c>
      <c r="U353" s="231"/>
      <c r="V353" s="262" t="e">
        <f>IF(C353="",NA(),IF(OR(C353="Smelter not listed",C353="Smelter not yet identified"),MATCH($B353&amp;$D353,'Smelter Look-up'!$J:$J,0),MATCH($B353&amp;$C353,'Smelter Look-up'!$J:$J,0)))</f>
        <v>#N/A</v>
      </c>
      <c r="W353" s="263"/>
      <c r="X353" s="263">
        <f t="shared" si="49"/>
        <v>0</v>
      </c>
      <c r="Y353" s="263"/>
      <c r="Z353" s="263"/>
      <c r="AB353" s="265" t="str">
        <f t="shared" si="50"/>
        <v/>
      </c>
    </row>
    <row r="354" spans="1:28" s="264" customFormat="1" ht="20.399999999999999">
      <c r="A354" s="207"/>
      <c r="B354" s="208"/>
      <c r="C354" s="212"/>
      <c r="D354" s="270"/>
      <c r="E354" s="208"/>
      <c r="F354" s="208"/>
      <c r="G354" s="208"/>
      <c r="H354" s="209"/>
      <c r="I354" s="210"/>
      <c r="J354" s="210"/>
      <c r="K354" s="260"/>
      <c r="L354" s="260"/>
      <c r="M354" s="260"/>
      <c r="N354" s="260"/>
      <c r="O354" s="260"/>
      <c r="P354" s="211"/>
      <c r="Q354" s="261"/>
      <c r="R354" s="208" t="str">
        <f ca="1">IF(ISERROR($V354),"",OFFSET('Smelter Look-up'!$C$4,$V354-4,0)&amp;"")</f>
        <v/>
      </c>
      <c r="S354" s="215" t="str">
        <f t="shared" ca="1" si="48"/>
        <v/>
      </c>
      <c r="T354" s="215" t="str">
        <f ca="1">IF(B354="","",IF(ISERROR(MATCH($J354,SorP!$B$1:$B$6230,0)),"",INDIRECT("'SorP'!$A$"&amp;MATCH($J354,SorP!$B$1:$B$6230,0))))</f>
        <v/>
      </c>
      <c r="U354" s="231"/>
      <c r="V354" s="262" t="e">
        <f>IF(C354="",NA(),IF(OR(C354="Smelter not listed",C354="Smelter not yet identified"),MATCH($B354&amp;$D354,'Smelter Look-up'!$J:$J,0),MATCH($B354&amp;$C354,'Smelter Look-up'!$J:$J,0)))</f>
        <v>#N/A</v>
      </c>
      <c r="W354" s="263"/>
      <c r="X354" s="263">
        <f t="shared" si="49"/>
        <v>0</v>
      </c>
      <c r="Y354" s="263"/>
      <c r="Z354" s="263"/>
      <c r="AB354" s="265" t="str">
        <f t="shared" si="50"/>
        <v/>
      </c>
    </row>
    <row r="355" spans="1:28" s="264" customFormat="1" ht="20.399999999999999">
      <c r="A355" s="207"/>
      <c r="B355" s="208"/>
      <c r="C355" s="212"/>
      <c r="D355" s="270"/>
      <c r="E355" s="208"/>
      <c r="F355" s="208"/>
      <c r="G355" s="208"/>
      <c r="H355" s="209"/>
      <c r="I355" s="210"/>
      <c r="J355" s="210"/>
      <c r="K355" s="260"/>
      <c r="L355" s="260"/>
      <c r="M355" s="260"/>
      <c r="N355" s="260"/>
      <c r="O355" s="260"/>
      <c r="P355" s="211"/>
      <c r="Q355" s="261"/>
      <c r="R355" s="208" t="str">
        <f ca="1">IF(ISERROR($V355),"",OFFSET('Smelter Look-up'!$C$4,$V355-4,0)&amp;"")</f>
        <v/>
      </c>
      <c r="S355" s="215" t="str">
        <f t="shared" ca="1" si="48"/>
        <v/>
      </c>
      <c r="T355" s="215" t="str">
        <f ca="1">IF(B355="","",IF(ISERROR(MATCH($J355,SorP!$B$1:$B$6230,0)),"",INDIRECT("'SorP'!$A$"&amp;MATCH($J355,SorP!$B$1:$B$6230,0))))</f>
        <v/>
      </c>
      <c r="U355" s="231"/>
      <c r="V355" s="262" t="e">
        <f>IF(C355="",NA(),IF(OR(C355="Smelter not listed",C355="Smelter not yet identified"),MATCH($B355&amp;$D355,'Smelter Look-up'!$J:$J,0),MATCH($B355&amp;$C355,'Smelter Look-up'!$J:$J,0)))</f>
        <v>#N/A</v>
      </c>
      <c r="W355" s="263"/>
      <c r="X355" s="263">
        <f t="shared" si="49"/>
        <v>0</v>
      </c>
      <c r="Y355" s="263"/>
      <c r="Z355" s="263"/>
      <c r="AB355" s="265" t="str">
        <f t="shared" si="50"/>
        <v/>
      </c>
    </row>
    <row r="356" spans="1:28" s="264" customFormat="1" ht="20.399999999999999">
      <c r="A356" s="207"/>
      <c r="B356" s="208"/>
      <c r="C356" s="212"/>
      <c r="D356" s="270"/>
      <c r="E356" s="208"/>
      <c r="F356" s="208"/>
      <c r="G356" s="208"/>
      <c r="H356" s="209"/>
      <c r="I356" s="210"/>
      <c r="J356" s="210"/>
      <c r="K356" s="260"/>
      <c r="L356" s="260"/>
      <c r="M356" s="260"/>
      <c r="N356" s="260"/>
      <c r="O356" s="260"/>
      <c r="P356" s="211"/>
      <c r="Q356" s="261"/>
      <c r="R356" s="208" t="str">
        <f ca="1">IF(ISERROR($V356),"",OFFSET('Smelter Look-up'!$C$4,$V356-4,0)&amp;"")</f>
        <v/>
      </c>
      <c r="S356" s="215" t="str">
        <f t="shared" ca="1" si="48"/>
        <v/>
      </c>
      <c r="T356" s="215" t="str">
        <f ca="1">IF(B356="","",IF(ISERROR(MATCH($J356,SorP!$B$1:$B$6230,0)),"",INDIRECT("'SorP'!$A$"&amp;MATCH($J356,SorP!$B$1:$B$6230,0))))</f>
        <v/>
      </c>
      <c r="U356" s="231"/>
      <c r="V356" s="262" t="e">
        <f>IF(C356="",NA(),IF(OR(C356="Smelter not listed",C356="Smelter not yet identified"),MATCH($B356&amp;$D356,'Smelter Look-up'!$J:$J,0),MATCH($B356&amp;$C356,'Smelter Look-up'!$J:$J,0)))</f>
        <v>#N/A</v>
      </c>
      <c r="W356" s="263"/>
      <c r="X356" s="263">
        <f t="shared" si="49"/>
        <v>0</v>
      </c>
      <c r="Y356" s="263"/>
      <c r="Z356" s="263"/>
      <c r="AB356" s="265" t="str">
        <f t="shared" si="50"/>
        <v/>
      </c>
    </row>
    <row r="357" spans="1:28" s="264" customFormat="1" ht="20.399999999999999">
      <c r="A357" s="207"/>
      <c r="B357" s="208"/>
      <c r="C357" s="212"/>
      <c r="D357" s="270"/>
      <c r="E357" s="208"/>
      <c r="F357" s="208"/>
      <c r="G357" s="208"/>
      <c r="H357" s="209"/>
      <c r="I357" s="210"/>
      <c r="J357" s="210"/>
      <c r="K357" s="260"/>
      <c r="L357" s="260"/>
      <c r="M357" s="260"/>
      <c r="N357" s="260"/>
      <c r="O357" s="260"/>
      <c r="P357" s="211"/>
      <c r="Q357" s="261"/>
      <c r="R357" s="208" t="str">
        <f ca="1">IF(ISERROR($V357),"",OFFSET('Smelter Look-up'!$C$4,$V357-4,0)&amp;"")</f>
        <v/>
      </c>
      <c r="S357" s="215" t="str">
        <f t="shared" ca="1" si="48"/>
        <v/>
      </c>
      <c r="T357" s="215" t="str">
        <f ca="1">IF(B357="","",IF(ISERROR(MATCH($J357,SorP!$B$1:$B$6230,0)),"",INDIRECT("'SorP'!$A$"&amp;MATCH($J357,SorP!$B$1:$B$6230,0))))</f>
        <v/>
      </c>
      <c r="U357" s="231"/>
      <c r="V357" s="262" t="e">
        <f>IF(C357="",NA(),IF(OR(C357="Smelter not listed",C357="Smelter not yet identified"),MATCH($B357&amp;$D357,'Smelter Look-up'!$J:$J,0),MATCH($B357&amp;$C357,'Smelter Look-up'!$J:$J,0)))</f>
        <v>#N/A</v>
      </c>
      <c r="W357" s="263"/>
      <c r="X357" s="263">
        <f t="shared" si="49"/>
        <v>0</v>
      </c>
      <c r="Y357" s="263"/>
      <c r="Z357" s="263"/>
      <c r="AB357" s="265" t="str">
        <f t="shared" si="50"/>
        <v/>
      </c>
    </row>
    <row r="358" spans="1:28" s="264" customFormat="1" ht="20.399999999999999">
      <c r="A358" s="207"/>
      <c r="B358" s="208"/>
      <c r="C358" s="212"/>
      <c r="D358" s="270"/>
      <c r="E358" s="208"/>
      <c r="F358" s="208"/>
      <c r="G358" s="208"/>
      <c r="H358" s="209"/>
      <c r="I358" s="210"/>
      <c r="J358" s="210"/>
      <c r="K358" s="260"/>
      <c r="L358" s="260"/>
      <c r="M358" s="260"/>
      <c r="N358" s="260"/>
      <c r="O358" s="260"/>
      <c r="P358" s="211"/>
      <c r="Q358" s="261"/>
      <c r="R358" s="208" t="str">
        <f ca="1">IF(ISERROR($V358),"",OFFSET('Smelter Look-up'!$C$4,$V358-4,0)&amp;"")</f>
        <v/>
      </c>
      <c r="S358" s="215" t="str">
        <f t="shared" ref="S358:S388" ca="1" si="51">IF(B358="","",IF(ISERROR(MATCH($E358,CL,0)),"Unknown",INDIRECT("'C'!$A$"&amp;MATCH($E358,CL,0)+1)))</f>
        <v/>
      </c>
      <c r="T358" s="215" t="str">
        <f ca="1">IF(B358="","",IF(ISERROR(MATCH($J358,SorP!$B$1:$B$6230,0)),"",INDIRECT("'SorP'!$A$"&amp;MATCH($J358,SorP!$B$1:$B$6230,0))))</f>
        <v/>
      </c>
      <c r="U358" s="231"/>
      <c r="V358" s="262" t="e">
        <f>IF(C358="",NA(),IF(OR(C358="Smelter not listed",C358="Smelter not yet identified"),MATCH($B358&amp;$D358,'Smelter Look-up'!$J:$J,0),MATCH($B358&amp;$C358,'Smelter Look-up'!$J:$J,0)))</f>
        <v>#N/A</v>
      </c>
      <c r="W358" s="263"/>
      <c r="X358" s="263">
        <f t="shared" ref="X358:X388" si="52">IF(AND(C358="Smelter not listed",OR(LEN(D358)=0,LEN(E358)=0)),1,0)</f>
        <v>0</v>
      </c>
      <c r="Y358" s="263"/>
      <c r="Z358" s="263"/>
      <c r="AB358" s="265" t="str">
        <f t="shared" ref="AB358:AB388" si="53">B358&amp;C358</f>
        <v/>
      </c>
    </row>
    <row r="359" spans="1:28" s="264" customFormat="1" ht="20.399999999999999">
      <c r="A359" s="207"/>
      <c r="B359" s="208"/>
      <c r="C359" s="212"/>
      <c r="D359" s="270"/>
      <c r="E359" s="208"/>
      <c r="F359" s="208"/>
      <c r="G359" s="208"/>
      <c r="H359" s="209"/>
      <c r="I359" s="210"/>
      <c r="J359" s="210"/>
      <c r="K359" s="260"/>
      <c r="L359" s="260"/>
      <c r="M359" s="260"/>
      <c r="N359" s="260"/>
      <c r="O359" s="260"/>
      <c r="P359" s="211"/>
      <c r="Q359" s="261"/>
      <c r="R359" s="208" t="str">
        <f ca="1">IF(ISERROR($V359),"",OFFSET('Smelter Look-up'!$C$4,$V359-4,0)&amp;"")</f>
        <v/>
      </c>
      <c r="S359" s="215" t="str">
        <f t="shared" ca="1" si="51"/>
        <v/>
      </c>
      <c r="T359" s="215" t="str">
        <f ca="1">IF(B359="","",IF(ISERROR(MATCH($J359,SorP!$B$1:$B$6230,0)),"",INDIRECT("'SorP'!$A$"&amp;MATCH($J359,SorP!$B$1:$B$6230,0))))</f>
        <v/>
      </c>
      <c r="U359" s="231"/>
      <c r="V359" s="262" t="e">
        <f>IF(C359="",NA(),IF(OR(C359="Smelter not listed",C359="Smelter not yet identified"),MATCH($B359&amp;$D359,'Smelter Look-up'!$J:$J,0),MATCH($B359&amp;$C359,'Smelter Look-up'!$J:$J,0)))</f>
        <v>#N/A</v>
      </c>
      <c r="W359" s="263"/>
      <c r="X359" s="263">
        <f t="shared" si="52"/>
        <v>0</v>
      </c>
      <c r="Y359" s="263"/>
      <c r="Z359" s="263"/>
      <c r="AB359" s="265" t="str">
        <f t="shared" si="53"/>
        <v/>
      </c>
    </row>
    <row r="360" spans="1:28" s="264" customFormat="1" ht="20.399999999999999">
      <c r="A360" s="207"/>
      <c r="B360" s="208"/>
      <c r="C360" s="212"/>
      <c r="D360" s="270"/>
      <c r="E360" s="208"/>
      <c r="F360" s="208"/>
      <c r="G360" s="208"/>
      <c r="H360" s="209"/>
      <c r="I360" s="210"/>
      <c r="J360" s="210"/>
      <c r="K360" s="260"/>
      <c r="L360" s="260"/>
      <c r="M360" s="260"/>
      <c r="N360" s="260"/>
      <c r="O360" s="260"/>
      <c r="P360" s="211"/>
      <c r="Q360" s="261"/>
      <c r="R360" s="208" t="str">
        <f ca="1">IF(ISERROR($V360),"",OFFSET('Smelter Look-up'!$C$4,$V360-4,0)&amp;"")</f>
        <v/>
      </c>
      <c r="S360" s="215" t="str">
        <f t="shared" ca="1" si="51"/>
        <v/>
      </c>
      <c r="T360" s="215" t="str">
        <f ca="1">IF(B360="","",IF(ISERROR(MATCH($J360,SorP!$B$1:$B$6230,0)),"",INDIRECT("'SorP'!$A$"&amp;MATCH($J360,SorP!$B$1:$B$6230,0))))</f>
        <v/>
      </c>
      <c r="U360" s="231"/>
      <c r="V360" s="262" t="e">
        <f>IF(C360="",NA(),IF(OR(C360="Smelter not listed",C360="Smelter not yet identified"),MATCH($B360&amp;$D360,'Smelter Look-up'!$J:$J,0),MATCH($B360&amp;$C360,'Smelter Look-up'!$J:$J,0)))</f>
        <v>#N/A</v>
      </c>
      <c r="W360" s="263"/>
      <c r="X360" s="263">
        <f t="shared" si="52"/>
        <v>0</v>
      </c>
      <c r="Y360" s="263"/>
      <c r="Z360" s="263"/>
      <c r="AB360" s="265" t="str">
        <f t="shared" si="53"/>
        <v/>
      </c>
    </row>
    <row r="361" spans="1:28" s="264" customFormat="1" ht="20.399999999999999">
      <c r="A361" s="207"/>
      <c r="B361" s="208"/>
      <c r="C361" s="212"/>
      <c r="D361" s="270"/>
      <c r="E361" s="208"/>
      <c r="F361" s="208"/>
      <c r="G361" s="208"/>
      <c r="H361" s="209"/>
      <c r="I361" s="210"/>
      <c r="J361" s="210"/>
      <c r="K361" s="260"/>
      <c r="L361" s="260"/>
      <c r="M361" s="260"/>
      <c r="N361" s="260"/>
      <c r="O361" s="260"/>
      <c r="P361" s="211"/>
      <c r="Q361" s="261"/>
      <c r="R361" s="208" t="str">
        <f ca="1">IF(ISERROR($V361),"",OFFSET('Smelter Look-up'!$C$4,$V361-4,0)&amp;"")</f>
        <v/>
      </c>
      <c r="S361" s="215" t="str">
        <f t="shared" ca="1" si="51"/>
        <v/>
      </c>
      <c r="T361" s="215" t="str">
        <f ca="1">IF(B361="","",IF(ISERROR(MATCH($J361,SorP!$B$1:$B$6230,0)),"",INDIRECT("'SorP'!$A$"&amp;MATCH($J361,SorP!$B$1:$B$6230,0))))</f>
        <v/>
      </c>
      <c r="U361" s="231"/>
      <c r="V361" s="262" t="e">
        <f>IF(C361="",NA(),IF(OR(C361="Smelter not listed",C361="Smelter not yet identified"),MATCH($B361&amp;$D361,'Smelter Look-up'!$J:$J,0),MATCH($B361&amp;$C361,'Smelter Look-up'!$J:$J,0)))</f>
        <v>#N/A</v>
      </c>
      <c r="W361" s="263"/>
      <c r="X361" s="263">
        <f t="shared" si="52"/>
        <v>0</v>
      </c>
      <c r="Y361" s="263"/>
      <c r="Z361" s="263"/>
      <c r="AB361" s="265" t="str">
        <f t="shared" si="53"/>
        <v/>
      </c>
    </row>
    <row r="362" spans="1:28" s="264" customFormat="1" ht="20.399999999999999">
      <c r="A362" s="207"/>
      <c r="B362" s="208"/>
      <c r="C362" s="212"/>
      <c r="D362" s="270"/>
      <c r="E362" s="208"/>
      <c r="F362" s="208"/>
      <c r="G362" s="208"/>
      <c r="H362" s="209"/>
      <c r="I362" s="210"/>
      <c r="J362" s="210"/>
      <c r="K362" s="260"/>
      <c r="L362" s="260"/>
      <c r="M362" s="260"/>
      <c r="N362" s="260"/>
      <c r="O362" s="260"/>
      <c r="P362" s="211"/>
      <c r="Q362" s="261"/>
      <c r="R362" s="208" t="str">
        <f ca="1">IF(ISERROR($V362),"",OFFSET('Smelter Look-up'!$C$4,$V362-4,0)&amp;"")</f>
        <v/>
      </c>
      <c r="S362" s="215" t="str">
        <f t="shared" ca="1" si="51"/>
        <v/>
      </c>
      <c r="T362" s="215" t="str">
        <f ca="1">IF(B362="","",IF(ISERROR(MATCH($J362,SorP!$B$1:$B$6230,0)),"",INDIRECT("'SorP'!$A$"&amp;MATCH($J362,SorP!$B$1:$B$6230,0))))</f>
        <v/>
      </c>
      <c r="U362" s="231"/>
      <c r="V362" s="262" t="e">
        <f>IF(C362="",NA(),IF(OR(C362="Smelter not listed",C362="Smelter not yet identified"),MATCH($B362&amp;$D362,'Smelter Look-up'!$J:$J,0),MATCH($B362&amp;$C362,'Smelter Look-up'!$J:$J,0)))</f>
        <v>#N/A</v>
      </c>
      <c r="W362" s="263"/>
      <c r="X362" s="263">
        <f t="shared" si="52"/>
        <v>0</v>
      </c>
      <c r="Y362" s="263"/>
      <c r="Z362" s="263"/>
      <c r="AB362" s="265" t="str">
        <f t="shared" si="53"/>
        <v/>
      </c>
    </row>
    <row r="363" spans="1:28" s="264" customFormat="1" ht="20.399999999999999">
      <c r="A363" s="207"/>
      <c r="B363" s="208"/>
      <c r="C363" s="212"/>
      <c r="D363" s="270"/>
      <c r="E363" s="208"/>
      <c r="F363" s="208"/>
      <c r="G363" s="208"/>
      <c r="H363" s="209"/>
      <c r="I363" s="210"/>
      <c r="J363" s="210"/>
      <c r="K363" s="260"/>
      <c r="L363" s="260"/>
      <c r="M363" s="260"/>
      <c r="N363" s="260"/>
      <c r="O363" s="260"/>
      <c r="P363" s="211"/>
      <c r="Q363" s="261"/>
      <c r="R363" s="208" t="str">
        <f ca="1">IF(ISERROR($V363),"",OFFSET('Smelter Look-up'!$C$4,$V363-4,0)&amp;"")</f>
        <v/>
      </c>
      <c r="S363" s="215" t="str">
        <f t="shared" ca="1" si="51"/>
        <v/>
      </c>
      <c r="T363" s="215" t="str">
        <f ca="1">IF(B363="","",IF(ISERROR(MATCH($J363,SorP!$B$1:$B$6230,0)),"",INDIRECT("'SorP'!$A$"&amp;MATCH($J363,SorP!$B$1:$B$6230,0))))</f>
        <v/>
      </c>
      <c r="U363" s="231"/>
      <c r="V363" s="262" t="e">
        <f>IF(C363="",NA(),IF(OR(C363="Smelter not listed",C363="Smelter not yet identified"),MATCH($B363&amp;$D363,'Smelter Look-up'!$J:$J,0),MATCH($B363&amp;$C363,'Smelter Look-up'!$J:$J,0)))</f>
        <v>#N/A</v>
      </c>
      <c r="W363" s="263"/>
      <c r="X363" s="263">
        <f t="shared" si="52"/>
        <v>0</v>
      </c>
      <c r="Y363" s="263"/>
      <c r="Z363" s="263"/>
      <c r="AB363" s="265" t="str">
        <f t="shared" si="53"/>
        <v/>
      </c>
    </row>
    <row r="364" spans="1:28" s="264" customFormat="1" ht="20.399999999999999">
      <c r="A364" s="207"/>
      <c r="B364" s="208"/>
      <c r="C364" s="212"/>
      <c r="D364" s="270"/>
      <c r="E364" s="208"/>
      <c r="F364" s="208"/>
      <c r="G364" s="208"/>
      <c r="H364" s="209"/>
      <c r="I364" s="210"/>
      <c r="J364" s="210"/>
      <c r="K364" s="260"/>
      <c r="L364" s="260"/>
      <c r="M364" s="260"/>
      <c r="N364" s="260"/>
      <c r="O364" s="260"/>
      <c r="P364" s="211"/>
      <c r="Q364" s="261"/>
      <c r="R364" s="208" t="str">
        <f ca="1">IF(ISERROR($V364),"",OFFSET('Smelter Look-up'!$C$4,$V364-4,0)&amp;"")</f>
        <v/>
      </c>
      <c r="S364" s="215" t="str">
        <f t="shared" ca="1" si="51"/>
        <v/>
      </c>
      <c r="T364" s="215" t="str">
        <f ca="1">IF(B364="","",IF(ISERROR(MATCH($J364,SorP!$B$1:$B$6230,0)),"",INDIRECT("'SorP'!$A$"&amp;MATCH($J364,SorP!$B$1:$B$6230,0))))</f>
        <v/>
      </c>
      <c r="U364" s="231"/>
      <c r="V364" s="262" t="e">
        <f>IF(C364="",NA(),IF(OR(C364="Smelter not listed",C364="Smelter not yet identified"),MATCH($B364&amp;$D364,'Smelter Look-up'!$J:$J,0),MATCH($B364&amp;$C364,'Smelter Look-up'!$J:$J,0)))</f>
        <v>#N/A</v>
      </c>
      <c r="W364" s="263"/>
      <c r="X364" s="263">
        <f t="shared" si="52"/>
        <v>0</v>
      </c>
      <c r="Y364" s="263"/>
      <c r="Z364" s="263"/>
      <c r="AB364" s="265" t="str">
        <f t="shared" si="53"/>
        <v/>
      </c>
    </row>
    <row r="365" spans="1:28" s="264" customFormat="1" ht="20.399999999999999">
      <c r="A365" s="207"/>
      <c r="B365" s="208"/>
      <c r="C365" s="212"/>
      <c r="D365" s="270"/>
      <c r="E365" s="208"/>
      <c r="F365" s="208"/>
      <c r="G365" s="208"/>
      <c r="H365" s="209"/>
      <c r="I365" s="210"/>
      <c r="J365" s="210"/>
      <c r="K365" s="260"/>
      <c r="L365" s="260"/>
      <c r="M365" s="260"/>
      <c r="N365" s="260"/>
      <c r="O365" s="260"/>
      <c r="P365" s="211"/>
      <c r="Q365" s="261"/>
      <c r="R365" s="208" t="str">
        <f ca="1">IF(ISERROR($V365),"",OFFSET('Smelter Look-up'!$C$4,$V365-4,0)&amp;"")</f>
        <v/>
      </c>
      <c r="S365" s="215" t="str">
        <f t="shared" ca="1" si="51"/>
        <v/>
      </c>
      <c r="T365" s="215" t="str">
        <f ca="1">IF(B365="","",IF(ISERROR(MATCH($J365,SorP!$B$1:$B$6230,0)),"",INDIRECT("'SorP'!$A$"&amp;MATCH($J365,SorP!$B$1:$B$6230,0))))</f>
        <v/>
      </c>
      <c r="U365" s="231"/>
      <c r="V365" s="262" t="e">
        <f>IF(C365="",NA(),IF(OR(C365="Smelter not listed",C365="Smelter not yet identified"),MATCH($B365&amp;$D365,'Smelter Look-up'!$J:$J,0),MATCH($B365&amp;$C365,'Smelter Look-up'!$J:$J,0)))</f>
        <v>#N/A</v>
      </c>
      <c r="W365" s="263"/>
      <c r="X365" s="263">
        <f t="shared" si="52"/>
        <v>0</v>
      </c>
      <c r="Y365" s="263"/>
      <c r="Z365" s="263"/>
      <c r="AB365" s="265" t="str">
        <f t="shared" si="53"/>
        <v/>
      </c>
    </row>
    <row r="366" spans="1:28" s="264" customFormat="1" ht="20.399999999999999">
      <c r="A366" s="207"/>
      <c r="B366" s="208"/>
      <c r="C366" s="212"/>
      <c r="D366" s="270"/>
      <c r="E366" s="208"/>
      <c r="F366" s="208"/>
      <c r="G366" s="208"/>
      <c r="H366" s="209"/>
      <c r="I366" s="210"/>
      <c r="J366" s="210"/>
      <c r="K366" s="260"/>
      <c r="L366" s="260"/>
      <c r="M366" s="260"/>
      <c r="N366" s="260"/>
      <c r="O366" s="260"/>
      <c r="P366" s="211"/>
      <c r="Q366" s="261"/>
      <c r="R366" s="208" t="str">
        <f ca="1">IF(ISERROR($V366),"",OFFSET('Smelter Look-up'!$C$4,$V366-4,0)&amp;"")</f>
        <v/>
      </c>
      <c r="S366" s="215" t="str">
        <f t="shared" ca="1" si="51"/>
        <v/>
      </c>
      <c r="T366" s="215" t="str">
        <f ca="1">IF(B366="","",IF(ISERROR(MATCH($J366,SorP!$B$1:$B$6230,0)),"",INDIRECT("'SorP'!$A$"&amp;MATCH($J366,SorP!$B$1:$B$6230,0))))</f>
        <v/>
      </c>
      <c r="U366" s="231"/>
      <c r="V366" s="262" t="e">
        <f>IF(C366="",NA(),IF(OR(C366="Smelter not listed",C366="Smelter not yet identified"),MATCH($B366&amp;$D366,'Smelter Look-up'!$J:$J,0),MATCH($B366&amp;$C366,'Smelter Look-up'!$J:$J,0)))</f>
        <v>#N/A</v>
      </c>
      <c r="W366" s="263"/>
      <c r="X366" s="263">
        <f t="shared" si="52"/>
        <v>0</v>
      </c>
      <c r="Y366" s="263"/>
      <c r="Z366" s="263"/>
      <c r="AB366" s="265" t="str">
        <f t="shared" si="53"/>
        <v/>
      </c>
    </row>
    <row r="367" spans="1:28" s="264" customFormat="1" ht="20.399999999999999">
      <c r="A367" s="207"/>
      <c r="B367" s="208"/>
      <c r="C367" s="212"/>
      <c r="D367" s="270"/>
      <c r="E367" s="208"/>
      <c r="F367" s="208"/>
      <c r="G367" s="208"/>
      <c r="H367" s="209"/>
      <c r="I367" s="210"/>
      <c r="J367" s="210"/>
      <c r="K367" s="260"/>
      <c r="L367" s="260"/>
      <c r="M367" s="260"/>
      <c r="N367" s="260"/>
      <c r="O367" s="260"/>
      <c r="P367" s="211"/>
      <c r="Q367" s="261"/>
      <c r="R367" s="208" t="str">
        <f ca="1">IF(ISERROR($V367),"",OFFSET('Smelter Look-up'!$C$4,$V367-4,0)&amp;"")</f>
        <v/>
      </c>
      <c r="S367" s="215" t="str">
        <f t="shared" ca="1" si="51"/>
        <v/>
      </c>
      <c r="T367" s="215" t="str">
        <f ca="1">IF(B367="","",IF(ISERROR(MATCH($J367,SorP!$B$1:$B$6230,0)),"",INDIRECT("'SorP'!$A$"&amp;MATCH($J367,SorP!$B$1:$B$6230,0))))</f>
        <v/>
      </c>
      <c r="U367" s="231"/>
      <c r="V367" s="262" t="e">
        <f>IF(C367="",NA(),IF(OR(C367="Smelter not listed",C367="Smelter not yet identified"),MATCH($B367&amp;$D367,'Smelter Look-up'!$J:$J,0),MATCH($B367&amp;$C367,'Smelter Look-up'!$J:$J,0)))</f>
        <v>#N/A</v>
      </c>
      <c r="W367" s="263"/>
      <c r="X367" s="263">
        <f t="shared" si="52"/>
        <v>0</v>
      </c>
      <c r="Y367" s="263"/>
      <c r="Z367" s="263"/>
      <c r="AB367" s="265" t="str">
        <f t="shared" si="53"/>
        <v/>
      </c>
    </row>
    <row r="368" spans="1:28" s="264" customFormat="1" ht="20.399999999999999">
      <c r="A368" s="207"/>
      <c r="B368" s="208"/>
      <c r="C368" s="212"/>
      <c r="D368" s="270"/>
      <c r="E368" s="208"/>
      <c r="F368" s="208"/>
      <c r="G368" s="208"/>
      <c r="H368" s="209"/>
      <c r="I368" s="210"/>
      <c r="J368" s="210"/>
      <c r="K368" s="260"/>
      <c r="L368" s="260"/>
      <c r="M368" s="260"/>
      <c r="N368" s="260"/>
      <c r="O368" s="260"/>
      <c r="P368" s="211"/>
      <c r="Q368" s="261"/>
      <c r="R368" s="208" t="str">
        <f ca="1">IF(ISERROR($V368),"",OFFSET('Smelter Look-up'!$C$4,$V368-4,0)&amp;"")</f>
        <v/>
      </c>
      <c r="S368" s="215" t="str">
        <f t="shared" ca="1" si="51"/>
        <v/>
      </c>
      <c r="T368" s="215" t="str">
        <f ca="1">IF(B368="","",IF(ISERROR(MATCH($J368,SorP!$B$1:$B$6230,0)),"",INDIRECT("'SorP'!$A$"&amp;MATCH($J368,SorP!$B$1:$B$6230,0))))</f>
        <v/>
      </c>
      <c r="U368" s="231"/>
      <c r="V368" s="262" t="e">
        <f>IF(C368="",NA(),IF(OR(C368="Smelter not listed",C368="Smelter not yet identified"),MATCH($B368&amp;$D368,'Smelter Look-up'!$J:$J,0),MATCH($B368&amp;$C368,'Smelter Look-up'!$J:$J,0)))</f>
        <v>#N/A</v>
      </c>
      <c r="W368" s="263"/>
      <c r="X368" s="263">
        <f t="shared" si="52"/>
        <v>0</v>
      </c>
      <c r="Y368" s="263"/>
      <c r="Z368" s="263"/>
      <c r="AB368" s="265" t="str">
        <f t="shared" si="53"/>
        <v/>
      </c>
    </row>
    <row r="369" spans="1:28" s="264" customFormat="1" ht="20.399999999999999">
      <c r="A369" s="207"/>
      <c r="B369" s="208"/>
      <c r="C369" s="212"/>
      <c r="D369" s="270"/>
      <c r="E369" s="208"/>
      <c r="F369" s="208"/>
      <c r="G369" s="208"/>
      <c r="H369" s="209"/>
      <c r="I369" s="210"/>
      <c r="J369" s="210"/>
      <c r="K369" s="260"/>
      <c r="L369" s="260"/>
      <c r="M369" s="260"/>
      <c r="N369" s="260"/>
      <c r="O369" s="260"/>
      <c r="P369" s="211"/>
      <c r="Q369" s="261"/>
      <c r="R369" s="208" t="str">
        <f ca="1">IF(ISERROR($V369),"",OFFSET('Smelter Look-up'!$C$4,$V369-4,0)&amp;"")</f>
        <v/>
      </c>
      <c r="S369" s="215" t="str">
        <f t="shared" ca="1" si="51"/>
        <v/>
      </c>
      <c r="T369" s="215" t="str">
        <f ca="1">IF(B369="","",IF(ISERROR(MATCH($J369,SorP!$B$1:$B$6230,0)),"",INDIRECT("'SorP'!$A$"&amp;MATCH($J369,SorP!$B$1:$B$6230,0))))</f>
        <v/>
      </c>
      <c r="U369" s="231"/>
      <c r="V369" s="262" t="e">
        <f>IF(C369="",NA(),IF(OR(C369="Smelter not listed",C369="Smelter not yet identified"),MATCH($B369&amp;$D369,'Smelter Look-up'!$J:$J,0),MATCH($B369&amp;$C369,'Smelter Look-up'!$J:$J,0)))</f>
        <v>#N/A</v>
      </c>
      <c r="W369" s="263"/>
      <c r="X369" s="263">
        <f t="shared" si="52"/>
        <v>0</v>
      </c>
      <c r="Y369" s="263"/>
      <c r="Z369" s="263"/>
      <c r="AB369" s="265" t="str">
        <f t="shared" si="53"/>
        <v/>
      </c>
    </row>
    <row r="370" spans="1:28" s="264" customFormat="1" ht="20.399999999999999">
      <c r="A370" s="207"/>
      <c r="B370" s="208"/>
      <c r="C370" s="212"/>
      <c r="D370" s="270"/>
      <c r="E370" s="208"/>
      <c r="F370" s="208"/>
      <c r="G370" s="208"/>
      <c r="H370" s="209"/>
      <c r="I370" s="210"/>
      <c r="J370" s="210"/>
      <c r="K370" s="260"/>
      <c r="L370" s="260"/>
      <c r="M370" s="260"/>
      <c r="N370" s="260"/>
      <c r="O370" s="260"/>
      <c r="P370" s="211"/>
      <c r="Q370" s="261"/>
      <c r="R370" s="208" t="str">
        <f ca="1">IF(ISERROR($V370),"",OFFSET('Smelter Look-up'!$C$4,$V370-4,0)&amp;"")</f>
        <v/>
      </c>
      <c r="S370" s="215" t="str">
        <f t="shared" ca="1" si="51"/>
        <v/>
      </c>
      <c r="T370" s="215" t="str">
        <f ca="1">IF(B370="","",IF(ISERROR(MATCH($J370,SorP!$B$1:$B$6230,0)),"",INDIRECT("'SorP'!$A$"&amp;MATCH($J370,SorP!$B$1:$B$6230,0))))</f>
        <v/>
      </c>
      <c r="U370" s="231"/>
      <c r="V370" s="262" t="e">
        <f>IF(C370="",NA(),IF(OR(C370="Smelter not listed",C370="Smelter not yet identified"),MATCH($B370&amp;$D370,'Smelter Look-up'!$J:$J,0),MATCH($B370&amp;$C370,'Smelter Look-up'!$J:$J,0)))</f>
        <v>#N/A</v>
      </c>
      <c r="W370" s="263"/>
      <c r="X370" s="263">
        <f t="shared" si="52"/>
        <v>0</v>
      </c>
      <c r="Y370" s="263"/>
      <c r="Z370" s="263"/>
      <c r="AB370" s="265" t="str">
        <f t="shared" si="53"/>
        <v/>
      </c>
    </row>
    <row r="371" spans="1:28" s="264" customFormat="1" ht="20.399999999999999">
      <c r="A371" s="207"/>
      <c r="B371" s="208"/>
      <c r="C371" s="212"/>
      <c r="D371" s="270"/>
      <c r="E371" s="208"/>
      <c r="F371" s="208"/>
      <c r="G371" s="208"/>
      <c r="H371" s="209"/>
      <c r="I371" s="210"/>
      <c r="J371" s="210"/>
      <c r="K371" s="260"/>
      <c r="L371" s="260"/>
      <c r="M371" s="260"/>
      <c r="N371" s="260"/>
      <c r="O371" s="260"/>
      <c r="P371" s="211"/>
      <c r="Q371" s="261"/>
      <c r="R371" s="208" t="str">
        <f ca="1">IF(ISERROR($V371),"",OFFSET('Smelter Look-up'!$C$4,$V371-4,0)&amp;"")</f>
        <v/>
      </c>
      <c r="S371" s="215" t="str">
        <f t="shared" ca="1" si="51"/>
        <v/>
      </c>
      <c r="T371" s="215" t="str">
        <f ca="1">IF(B371="","",IF(ISERROR(MATCH($J371,SorP!$B$1:$B$6230,0)),"",INDIRECT("'SorP'!$A$"&amp;MATCH($J371,SorP!$B$1:$B$6230,0))))</f>
        <v/>
      </c>
      <c r="U371" s="231"/>
      <c r="V371" s="262" t="e">
        <f>IF(C371="",NA(),IF(OR(C371="Smelter not listed",C371="Smelter not yet identified"),MATCH($B371&amp;$D371,'Smelter Look-up'!$J:$J,0),MATCH($B371&amp;$C371,'Smelter Look-up'!$J:$J,0)))</f>
        <v>#N/A</v>
      </c>
      <c r="W371" s="263"/>
      <c r="X371" s="263">
        <f t="shared" si="52"/>
        <v>0</v>
      </c>
      <c r="Y371" s="263"/>
      <c r="Z371" s="263"/>
      <c r="AB371" s="265" t="str">
        <f t="shared" si="53"/>
        <v/>
      </c>
    </row>
    <row r="372" spans="1:28" s="264" customFormat="1" ht="20.399999999999999">
      <c r="A372" s="207"/>
      <c r="B372" s="208"/>
      <c r="C372" s="212"/>
      <c r="D372" s="270"/>
      <c r="E372" s="208"/>
      <c r="F372" s="208"/>
      <c r="G372" s="208"/>
      <c r="H372" s="209"/>
      <c r="I372" s="210"/>
      <c r="J372" s="210"/>
      <c r="K372" s="260"/>
      <c r="L372" s="260"/>
      <c r="M372" s="260"/>
      <c r="N372" s="260"/>
      <c r="O372" s="260"/>
      <c r="P372" s="211"/>
      <c r="Q372" s="261"/>
      <c r="R372" s="208" t="str">
        <f ca="1">IF(ISERROR($V372),"",OFFSET('Smelter Look-up'!$C$4,$V372-4,0)&amp;"")</f>
        <v/>
      </c>
      <c r="S372" s="215" t="str">
        <f t="shared" ca="1" si="51"/>
        <v/>
      </c>
      <c r="T372" s="215" t="str">
        <f ca="1">IF(B372="","",IF(ISERROR(MATCH($J372,SorP!$B$1:$B$6230,0)),"",INDIRECT("'SorP'!$A$"&amp;MATCH($J372,SorP!$B$1:$B$6230,0))))</f>
        <v/>
      </c>
      <c r="U372" s="231"/>
      <c r="V372" s="262" t="e">
        <f>IF(C372="",NA(),IF(OR(C372="Smelter not listed",C372="Smelter not yet identified"),MATCH($B372&amp;$D372,'Smelter Look-up'!$J:$J,0),MATCH($B372&amp;$C372,'Smelter Look-up'!$J:$J,0)))</f>
        <v>#N/A</v>
      </c>
      <c r="W372" s="263"/>
      <c r="X372" s="263">
        <f t="shared" si="52"/>
        <v>0</v>
      </c>
      <c r="Y372" s="263"/>
      <c r="Z372" s="263"/>
      <c r="AB372" s="265" t="str">
        <f t="shared" si="53"/>
        <v/>
      </c>
    </row>
    <row r="373" spans="1:28" s="264" customFormat="1" ht="20.399999999999999">
      <c r="A373" s="207"/>
      <c r="B373" s="208"/>
      <c r="C373" s="212"/>
      <c r="D373" s="270"/>
      <c r="E373" s="208"/>
      <c r="F373" s="208"/>
      <c r="G373" s="208"/>
      <c r="H373" s="209"/>
      <c r="I373" s="210"/>
      <c r="J373" s="210"/>
      <c r="K373" s="260"/>
      <c r="L373" s="260"/>
      <c r="M373" s="260"/>
      <c r="N373" s="260"/>
      <c r="O373" s="260"/>
      <c r="P373" s="211"/>
      <c r="Q373" s="261"/>
      <c r="R373" s="208" t="str">
        <f ca="1">IF(ISERROR($V373),"",OFFSET('Smelter Look-up'!$C$4,$V373-4,0)&amp;"")</f>
        <v/>
      </c>
      <c r="S373" s="215" t="str">
        <f t="shared" ca="1" si="51"/>
        <v/>
      </c>
      <c r="T373" s="215" t="str">
        <f ca="1">IF(B373="","",IF(ISERROR(MATCH($J373,SorP!$B$1:$B$6230,0)),"",INDIRECT("'SorP'!$A$"&amp;MATCH($J373,SorP!$B$1:$B$6230,0))))</f>
        <v/>
      </c>
      <c r="U373" s="231"/>
      <c r="V373" s="262" t="e">
        <f>IF(C373="",NA(),IF(OR(C373="Smelter not listed",C373="Smelter not yet identified"),MATCH($B373&amp;$D373,'Smelter Look-up'!$J:$J,0),MATCH($B373&amp;$C373,'Smelter Look-up'!$J:$J,0)))</f>
        <v>#N/A</v>
      </c>
      <c r="W373" s="263"/>
      <c r="X373" s="263">
        <f t="shared" si="52"/>
        <v>0</v>
      </c>
      <c r="Y373" s="263"/>
      <c r="Z373" s="263"/>
      <c r="AB373" s="265" t="str">
        <f t="shared" si="53"/>
        <v/>
      </c>
    </row>
    <row r="374" spans="1:28" s="264" customFormat="1" ht="20.399999999999999">
      <c r="A374" s="207"/>
      <c r="B374" s="208"/>
      <c r="C374" s="212"/>
      <c r="D374" s="270"/>
      <c r="E374" s="208"/>
      <c r="F374" s="208"/>
      <c r="G374" s="208"/>
      <c r="H374" s="209"/>
      <c r="I374" s="210"/>
      <c r="J374" s="210"/>
      <c r="K374" s="260"/>
      <c r="L374" s="260"/>
      <c r="M374" s="260"/>
      <c r="N374" s="260"/>
      <c r="O374" s="260"/>
      <c r="P374" s="211"/>
      <c r="Q374" s="261"/>
      <c r="R374" s="208" t="str">
        <f ca="1">IF(ISERROR($V374),"",OFFSET('Smelter Look-up'!$C$4,$V374-4,0)&amp;"")</f>
        <v/>
      </c>
      <c r="S374" s="215" t="str">
        <f t="shared" ca="1" si="51"/>
        <v/>
      </c>
      <c r="T374" s="215" t="str">
        <f ca="1">IF(B374="","",IF(ISERROR(MATCH($J374,SorP!$B$1:$B$6230,0)),"",INDIRECT("'SorP'!$A$"&amp;MATCH($J374,SorP!$B$1:$B$6230,0))))</f>
        <v/>
      </c>
      <c r="U374" s="231"/>
      <c r="V374" s="262" t="e">
        <f>IF(C374="",NA(),IF(OR(C374="Smelter not listed",C374="Smelter not yet identified"),MATCH($B374&amp;$D374,'Smelter Look-up'!$J:$J,0),MATCH($B374&amp;$C374,'Smelter Look-up'!$J:$J,0)))</f>
        <v>#N/A</v>
      </c>
      <c r="W374" s="263"/>
      <c r="X374" s="263">
        <f t="shared" si="52"/>
        <v>0</v>
      </c>
      <c r="Y374" s="263"/>
      <c r="Z374" s="263"/>
      <c r="AB374" s="265" t="str">
        <f t="shared" si="53"/>
        <v/>
      </c>
    </row>
    <row r="375" spans="1:28" s="264" customFormat="1" ht="20.399999999999999">
      <c r="A375" s="207"/>
      <c r="B375" s="208"/>
      <c r="C375" s="212"/>
      <c r="D375" s="270"/>
      <c r="E375" s="208"/>
      <c r="F375" s="208"/>
      <c r="G375" s="208"/>
      <c r="H375" s="209"/>
      <c r="I375" s="210"/>
      <c r="J375" s="210"/>
      <c r="K375" s="260"/>
      <c r="L375" s="260"/>
      <c r="M375" s="260"/>
      <c r="N375" s="260"/>
      <c r="O375" s="260"/>
      <c r="P375" s="211"/>
      <c r="Q375" s="261"/>
      <c r="R375" s="208" t="str">
        <f ca="1">IF(ISERROR($V375),"",OFFSET('Smelter Look-up'!$C$4,$V375-4,0)&amp;"")</f>
        <v/>
      </c>
      <c r="S375" s="215" t="str">
        <f t="shared" ca="1" si="51"/>
        <v/>
      </c>
      <c r="T375" s="215" t="str">
        <f ca="1">IF(B375="","",IF(ISERROR(MATCH($J375,SorP!$B$1:$B$6230,0)),"",INDIRECT("'SorP'!$A$"&amp;MATCH($J375,SorP!$B$1:$B$6230,0))))</f>
        <v/>
      </c>
      <c r="U375" s="231"/>
      <c r="V375" s="262" t="e">
        <f>IF(C375="",NA(),IF(OR(C375="Smelter not listed",C375="Smelter not yet identified"),MATCH($B375&amp;$D375,'Smelter Look-up'!$J:$J,0),MATCH($B375&amp;$C375,'Smelter Look-up'!$J:$J,0)))</f>
        <v>#N/A</v>
      </c>
      <c r="W375" s="263"/>
      <c r="X375" s="263">
        <f t="shared" si="52"/>
        <v>0</v>
      </c>
      <c r="Y375" s="263"/>
      <c r="Z375" s="263"/>
      <c r="AB375" s="265" t="str">
        <f t="shared" si="53"/>
        <v/>
      </c>
    </row>
    <row r="376" spans="1:28" s="264" customFormat="1" ht="20.399999999999999">
      <c r="A376" s="207"/>
      <c r="B376" s="208"/>
      <c r="C376" s="212"/>
      <c r="D376" s="270"/>
      <c r="E376" s="208"/>
      <c r="F376" s="208"/>
      <c r="G376" s="208"/>
      <c r="H376" s="209"/>
      <c r="I376" s="210"/>
      <c r="J376" s="210"/>
      <c r="K376" s="260"/>
      <c r="L376" s="260"/>
      <c r="M376" s="260"/>
      <c r="N376" s="260"/>
      <c r="O376" s="260"/>
      <c r="P376" s="211"/>
      <c r="Q376" s="261"/>
      <c r="R376" s="208" t="str">
        <f ca="1">IF(ISERROR($V376),"",OFFSET('Smelter Look-up'!$C$4,$V376-4,0)&amp;"")</f>
        <v/>
      </c>
      <c r="S376" s="215" t="str">
        <f t="shared" ca="1" si="51"/>
        <v/>
      </c>
      <c r="T376" s="215" t="str">
        <f ca="1">IF(B376="","",IF(ISERROR(MATCH($J376,SorP!$B$1:$B$6230,0)),"",INDIRECT("'SorP'!$A$"&amp;MATCH($J376,SorP!$B$1:$B$6230,0))))</f>
        <v/>
      </c>
      <c r="U376" s="231"/>
      <c r="V376" s="262" t="e">
        <f>IF(C376="",NA(),IF(OR(C376="Smelter not listed",C376="Smelter not yet identified"),MATCH($B376&amp;$D376,'Smelter Look-up'!$J:$J,0),MATCH($B376&amp;$C376,'Smelter Look-up'!$J:$J,0)))</f>
        <v>#N/A</v>
      </c>
      <c r="W376" s="263"/>
      <c r="X376" s="263">
        <f t="shared" si="52"/>
        <v>0</v>
      </c>
      <c r="Y376" s="263"/>
      <c r="Z376" s="263"/>
      <c r="AB376" s="265" t="str">
        <f t="shared" si="53"/>
        <v/>
      </c>
    </row>
    <row r="377" spans="1:28" s="264" customFormat="1" ht="20.399999999999999">
      <c r="A377" s="207"/>
      <c r="B377" s="208"/>
      <c r="C377" s="212"/>
      <c r="D377" s="270"/>
      <c r="E377" s="208"/>
      <c r="F377" s="208"/>
      <c r="G377" s="208"/>
      <c r="H377" s="209"/>
      <c r="I377" s="210"/>
      <c r="J377" s="210"/>
      <c r="K377" s="260"/>
      <c r="L377" s="260"/>
      <c r="M377" s="260"/>
      <c r="N377" s="260"/>
      <c r="O377" s="260"/>
      <c r="P377" s="211"/>
      <c r="Q377" s="261"/>
      <c r="R377" s="208" t="str">
        <f ca="1">IF(ISERROR($V377),"",OFFSET('Smelter Look-up'!$C$4,$V377-4,0)&amp;"")</f>
        <v/>
      </c>
      <c r="S377" s="215" t="str">
        <f t="shared" ca="1" si="51"/>
        <v/>
      </c>
      <c r="T377" s="215" t="str">
        <f ca="1">IF(B377="","",IF(ISERROR(MATCH($J377,SorP!$B$1:$B$6230,0)),"",INDIRECT("'SorP'!$A$"&amp;MATCH($J377,SorP!$B$1:$B$6230,0))))</f>
        <v/>
      </c>
      <c r="U377" s="231"/>
      <c r="V377" s="262" t="e">
        <f>IF(C377="",NA(),IF(OR(C377="Smelter not listed",C377="Smelter not yet identified"),MATCH($B377&amp;$D377,'Smelter Look-up'!$J:$J,0),MATCH($B377&amp;$C377,'Smelter Look-up'!$J:$J,0)))</f>
        <v>#N/A</v>
      </c>
      <c r="W377" s="263"/>
      <c r="X377" s="263">
        <f t="shared" si="52"/>
        <v>0</v>
      </c>
      <c r="Y377" s="263"/>
      <c r="Z377" s="263"/>
      <c r="AB377" s="265" t="str">
        <f t="shared" si="53"/>
        <v/>
      </c>
    </row>
    <row r="378" spans="1:28" s="264" customFormat="1" ht="20.399999999999999">
      <c r="A378" s="207"/>
      <c r="B378" s="208"/>
      <c r="C378" s="212"/>
      <c r="D378" s="270"/>
      <c r="E378" s="208"/>
      <c r="F378" s="208"/>
      <c r="G378" s="208"/>
      <c r="H378" s="209"/>
      <c r="I378" s="210"/>
      <c r="J378" s="210"/>
      <c r="K378" s="260"/>
      <c r="L378" s="260"/>
      <c r="M378" s="260"/>
      <c r="N378" s="260"/>
      <c r="O378" s="260"/>
      <c r="P378" s="211"/>
      <c r="Q378" s="261"/>
      <c r="R378" s="208" t="str">
        <f ca="1">IF(ISERROR($V378),"",OFFSET('Smelter Look-up'!$C$4,$V378-4,0)&amp;"")</f>
        <v/>
      </c>
      <c r="S378" s="215" t="str">
        <f t="shared" ca="1" si="51"/>
        <v/>
      </c>
      <c r="T378" s="215" t="str">
        <f ca="1">IF(B378="","",IF(ISERROR(MATCH($J378,SorP!$B$1:$B$6230,0)),"",INDIRECT("'SorP'!$A$"&amp;MATCH($J378,SorP!$B$1:$B$6230,0))))</f>
        <v/>
      </c>
      <c r="U378" s="231"/>
      <c r="V378" s="262" t="e">
        <f>IF(C378="",NA(),IF(OR(C378="Smelter not listed",C378="Smelter not yet identified"),MATCH($B378&amp;$D378,'Smelter Look-up'!$J:$J,0),MATCH($B378&amp;$C378,'Smelter Look-up'!$J:$J,0)))</f>
        <v>#N/A</v>
      </c>
      <c r="W378" s="263"/>
      <c r="X378" s="263">
        <f t="shared" si="52"/>
        <v>0</v>
      </c>
      <c r="Y378" s="263"/>
      <c r="Z378" s="263"/>
      <c r="AB378" s="265" t="str">
        <f t="shared" si="53"/>
        <v/>
      </c>
    </row>
    <row r="379" spans="1:28" s="264" customFormat="1" ht="20.399999999999999">
      <c r="A379" s="207"/>
      <c r="B379" s="208"/>
      <c r="C379" s="212"/>
      <c r="D379" s="270"/>
      <c r="E379" s="208"/>
      <c r="F379" s="208"/>
      <c r="G379" s="208"/>
      <c r="H379" s="209"/>
      <c r="I379" s="210"/>
      <c r="J379" s="210"/>
      <c r="K379" s="260"/>
      <c r="L379" s="260"/>
      <c r="M379" s="260"/>
      <c r="N379" s="260"/>
      <c r="O379" s="260"/>
      <c r="P379" s="211"/>
      <c r="Q379" s="261"/>
      <c r="R379" s="208" t="str">
        <f ca="1">IF(ISERROR($V379),"",OFFSET('Smelter Look-up'!$C$4,$V379-4,0)&amp;"")</f>
        <v/>
      </c>
      <c r="S379" s="215" t="str">
        <f t="shared" ca="1" si="51"/>
        <v/>
      </c>
      <c r="T379" s="215" t="str">
        <f ca="1">IF(B379="","",IF(ISERROR(MATCH($J379,SorP!$B$1:$B$6230,0)),"",INDIRECT("'SorP'!$A$"&amp;MATCH($J379,SorP!$B$1:$B$6230,0))))</f>
        <v/>
      </c>
      <c r="U379" s="231"/>
      <c r="V379" s="262" t="e">
        <f>IF(C379="",NA(),IF(OR(C379="Smelter not listed",C379="Smelter not yet identified"),MATCH($B379&amp;$D379,'Smelter Look-up'!$J:$J,0),MATCH($B379&amp;$C379,'Smelter Look-up'!$J:$J,0)))</f>
        <v>#N/A</v>
      </c>
      <c r="W379" s="263"/>
      <c r="X379" s="263">
        <f t="shared" si="52"/>
        <v>0</v>
      </c>
      <c r="Y379" s="263"/>
      <c r="Z379" s="263"/>
      <c r="AB379" s="265" t="str">
        <f t="shared" si="53"/>
        <v/>
      </c>
    </row>
    <row r="380" spans="1:28" s="264" customFormat="1" ht="20.399999999999999">
      <c r="A380" s="207"/>
      <c r="B380" s="208"/>
      <c r="C380" s="212"/>
      <c r="D380" s="270"/>
      <c r="E380" s="208"/>
      <c r="F380" s="208"/>
      <c r="G380" s="208"/>
      <c r="H380" s="209"/>
      <c r="I380" s="210"/>
      <c r="J380" s="210"/>
      <c r="K380" s="260"/>
      <c r="L380" s="260"/>
      <c r="M380" s="260"/>
      <c r="N380" s="260"/>
      <c r="O380" s="260"/>
      <c r="P380" s="211"/>
      <c r="Q380" s="261"/>
      <c r="R380" s="208" t="str">
        <f ca="1">IF(ISERROR($V380),"",OFFSET('Smelter Look-up'!$C$4,$V380-4,0)&amp;"")</f>
        <v/>
      </c>
      <c r="S380" s="215" t="str">
        <f t="shared" ca="1" si="51"/>
        <v/>
      </c>
      <c r="T380" s="215" t="str">
        <f ca="1">IF(B380="","",IF(ISERROR(MATCH($J380,SorP!$B$1:$B$6230,0)),"",INDIRECT("'SorP'!$A$"&amp;MATCH($J380,SorP!$B$1:$B$6230,0))))</f>
        <v/>
      </c>
      <c r="U380" s="231"/>
      <c r="V380" s="262" t="e">
        <f>IF(C380="",NA(),IF(OR(C380="Smelter not listed",C380="Smelter not yet identified"),MATCH($B380&amp;$D380,'Smelter Look-up'!$J:$J,0),MATCH($B380&amp;$C380,'Smelter Look-up'!$J:$J,0)))</f>
        <v>#N/A</v>
      </c>
      <c r="W380" s="263"/>
      <c r="X380" s="263">
        <f t="shared" si="52"/>
        <v>0</v>
      </c>
      <c r="Y380" s="263"/>
      <c r="Z380" s="263"/>
      <c r="AB380" s="265" t="str">
        <f t="shared" si="53"/>
        <v/>
      </c>
    </row>
    <row r="381" spans="1:28" s="264" customFormat="1" ht="20.399999999999999">
      <c r="A381" s="207"/>
      <c r="B381" s="208"/>
      <c r="C381" s="212"/>
      <c r="D381" s="270"/>
      <c r="E381" s="208"/>
      <c r="F381" s="208"/>
      <c r="G381" s="208"/>
      <c r="H381" s="209"/>
      <c r="I381" s="210"/>
      <c r="J381" s="210"/>
      <c r="K381" s="260"/>
      <c r="L381" s="260"/>
      <c r="M381" s="260"/>
      <c r="N381" s="260"/>
      <c r="O381" s="260"/>
      <c r="P381" s="211"/>
      <c r="Q381" s="261"/>
      <c r="R381" s="208" t="str">
        <f ca="1">IF(ISERROR($V381),"",OFFSET('Smelter Look-up'!$C$4,$V381-4,0)&amp;"")</f>
        <v/>
      </c>
      <c r="S381" s="215" t="str">
        <f t="shared" ca="1" si="51"/>
        <v/>
      </c>
      <c r="T381" s="215" t="str">
        <f ca="1">IF(B381="","",IF(ISERROR(MATCH($J381,SorP!$B$1:$B$6230,0)),"",INDIRECT("'SorP'!$A$"&amp;MATCH($J381,SorP!$B$1:$B$6230,0))))</f>
        <v/>
      </c>
      <c r="U381" s="231"/>
      <c r="V381" s="262" t="e">
        <f>IF(C381="",NA(),IF(OR(C381="Smelter not listed",C381="Smelter not yet identified"),MATCH($B381&amp;$D381,'Smelter Look-up'!$J:$J,0),MATCH($B381&amp;$C381,'Smelter Look-up'!$J:$J,0)))</f>
        <v>#N/A</v>
      </c>
      <c r="W381" s="263"/>
      <c r="X381" s="263">
        <f t="shared" si="52"/>
        <v>0</v>
      </c>
      <c r="Y381" s="263"/>
      <c r="Z381" s="263"/>
      <c r="AB381" s="265" t="str">
        <f t="shared" si="53"/>
        <v/>
      </c>
    </row>
    <row r="382" spans="1:28" s="264" customFormat="1" ht="20.399999999999999">
      <c r="A382" s="207"/>
      <c r="B382" s="208"/>
      <c r="C382" s="212"/>
      <c r="D382" s="270"/>
      <c r="E382" s="208"/>
      <c r="F382" s="208"/>
      <c r="G382" s="208"/>
      <c r="H382" s="209"/>
      <c r="I382" s="210"/>
      <c r="J382" s="210"/>
      <c r="K382" s="260"/>
      <c r="L382" s="260"/>
      <c r="M382" s="260"/>
      <c r="N382" s="260"/>
      <c r="O382" s="260"/>
      <c r="P382" s="211"/>
      <c r="Q382" s="261"/>
      <c r="R382" s="208" t="str">
        <f ca="1">IF(ISERROR($V382),"",OFFSET('Smelter Look-up'!$C$4,$V382-4,0)&amp;"")</f>
        <v/>
      </c>
      <c r="S382" s="215" t="str">
        <f t="shared" ca="1" si="51"/>
        <v/>
      </c>
      <c r="T382" s="215" t="str">
        <f ca="1">IF(B382="","",IF(ISERROR(MATCH($J382,SorP!$B$1:$B$6230,0)),"",INDIRECT("'SorP'!$A$"&amp;MATCH($J382,SorP!$B$1:$B$6230,0))))</f>
        <v/>
      </c>
      <c r="U382" s="231"/>
      <c r="V382" s="262" t="e">
        <f>IF(C382="",NA(),IF(OR(C382="Smelter not listed",C382="Smelter not yet identified"),MATCH($B382&amp;$D382,'Smelter Look-up'!$J:$J,0),MATCH($B382&amp;$C382,'Smelter Look-up'!$J:$J,0)))</f>
        <v>#N/A</v>
      </c>
      <c r="W382" s="263"/>
      <c r="X382" s="263">
        <f t="shared" si="52"/>
        <v>0</v>
      </c>
      <c r="Y382" s="263"/>
      <c r="Z382" s="263"/>
      <c r="AB382" s="265" t="str">
        <f t="shared" si="53"/>
        <v/>
      </c>
    </row>
    <row r="383" spans="1:28" s="264" customFormat="1" ht="20.399999999999999">
      <c r="A383" s="207"/>
      <c r="B383" s="208"/>
      <c r="C383" s="212"/>
      <c r="D383" s="270"/>
      <c r="E383" s="208"/>
      <c r="F383" s="208"/>
      <c r="G383" s="208"/>
      <c r="H383" s="209"/>
      <c r="I383" s="210"/>
      <c r="J383" s="210"/>
      <c r="K383" s="260"/>
      <c r="L383" s="260"/>
      <c r="M383" s="260"/>
      <c r="N383" s="260"/>
      <c r="O383" s="260"/>
      <c r="P383" s="211"/>
      <c r="Q383" s="261"/>
      <c r="R383" s="208" t="str">
        <f ca="1">IF(ISERROR($V383),"",OFFSET('Smelter Look-up'!$C$4,$V383-4,0)&amp;"")</f>
        <v/>
      </c>
      <c r="S383" s="215" t="str">
        <f t="shared" ca="1" si="51"/>
        <v/>
      </c>
      <c r="T383" s="215" t="str">
        <f ca="1">IF(B383="","",IF(ISERROR(MATCH($J383,SorP!$B$1:$B$6230,0)),"",INDIRECT("'SorP'!$A$"&amp;MATCH($J383,SorP!$B$1:$B$6230,0))))</f>
        <v/>
      </c>
      <c r="U383" s="231"/>
      <c r="V383" s="262" t="e">
        <f>IF(C383="",NA(),IF(OR(C383="Smelter not listed",C383="Smelter not yet identified"),MATCH($B383&amp;$D383,'Smelter Look-up'!$J:$J,0),MATCH($B383&amp;$C383,'Smelter Look-up'!$J:$J,0)))</f>
        <v>#N/A</v>
      </c>
      <c r="W383" s="263"/>
      <c r="X383" s="263">
        <f t="shared" si="52"/>
        <v>0</v>
      </c>
      <c r="Y383" s="263"/>
      <c r="Z383" s="263"/>
      <c r="AB383" s="265" t="str">
        <f t="shared" si="53"/>
        <v/>
      </c>
    </row>
    <row r="384" spans="1:28" s="264" customFormat="1" ht="20.399999999999999">
      <c r="A384" s="207"/>
      <c r="B384" s="208"/>
      <c r="C384" s="212"/>
      <c r="D384" s="270"/>
      <c r="E384" s="208"/>
      <c r="F384" s="208"/>
      <c r="G384" s="208"/>
      <c r="H384" s="209"/>
      <c r="I384" s="210"/>
      <c r="J384" s="210"/>
      <c r="K384" s="260"/>
      <c r="L384" s="260"/>
      <c r="M384" s="260"/>
      <c r="N384" s="260"/>
      <c r="O384" s="260"/>
      <c r="P384" s="211"/>
      <c r="Q384" s="261"/>
      <c r="R384" s="208" t="str">
        <f ca="1">IF(ISERROR($V384),"",OFFSET('Smelter Look-up'!$C$4,$V384-4,0)&amp;"")</f>
        <v/>
      </c>
      <c r="S384" s="215" t="str">
        <f t="shared" ca="1" si="51"/>
        <v/>
      </c>
      <c r="T384" s="215" t="str">
        <f ca="1">IF(B384="","",IF(ISERROR(MATCH($J384,SorP!$B$1:$B$6230,0)),"",INDIRECT("'SorP'!$A$"&amp;MATCH($J384,SorP!$B$1:$B$6230,0))))</f>
        <v/>
      </c>
      <c r="U384" s="231"/>
      <c r="V384" s="262" t="e">
        <f>IF(C384="",NA(),IF(OR(C384="Smelter not listed",C384="Smelter not yet identified"),MATCH($B384&amp;$D384,'Smelter Look-up'!$J:$J,0),MATCH($B384&amp;$C384,'Smelter Look-up'!$J:$J,0)))</f>
        <v>#N/A</v>
      </c>
      <c r="W384" s="263"/>
      <c r="X384" s="263">
        <f t="shared" si="52"/>
        <v>0</v>
      </c>
      <c r="Y384" s="263"/>
      <c r="Z384" s="263"/>
      <c r="AB384" s="265" t="str">
        <f t="shared" si="53"/>
        <v/>
      </c>
    </row>
    <row r="385" spans="1:28" s="264" customFormat="1" ht="20.399999999999999">
      <c r="A385" s="207"/>
      <c r="B385" s="208"/>
      <c r="C385" s="212"/>
      <c r="D385" s="270"/>
      <c r="E385" s="208"/>
      <c r="F385" s="208"/>
      <c r="G385" s="208"/>
      <c r="H385" s="209"/>
      <c r="I385" s="210"/>
      <c r="J385" s="210"/>
      <c r="K385" s="260"/>
      <c r="L385" s="260"/>
      <c r="M385" s="260"/>
      <c r="N385" s="260"/>
      <c r="O385" s="260"/>
      <c r="P385" s="211"/>
      <c r="Q385" s="261"/>
      <c r="R385" s="208" t="str">
        <f ca="1">IF(ISERROR($V385),"",OFFSET('Smelter Look-up'!$C$4,$V385-4,0)&amp;"")</f>
        <v/>
      </c>
      <c r="S385" s="215" t="str">
        <f t="shared" ca="1" si="51"/>
        <v/>
      </c>
      <c r="T385" s="215" t="str">
        <f ca="1">IF(B385="","",IF(ISERROR(MATCH($J385,SorP!$B$1:$B$6230,0)),"",INDIRECT("'SorP'!$A$"&amp;MATCH($J385,SorP!$B$1:$B$6230,0))))</f>
        <v/>
      </c>
      <c r="U385" s="231"/>
      <c r="V385" s="262" t="e">
        <f>IF(C385="",NA(),IF(OR(C385="Smelter not listed",C385="Smelter not yet identified"),MATCH($B385&amp;$D385,'Smelter Look-up'!$J:$J,0),MATCH($B385&amp;$C385,'Smelter Look-up'!$J:$J,0)))</f>
        <v>#N/A</v>
      </c>
      <c r="W385" s="263"/>
      <c r="X385" s="263">
        <f t="shared" si="52"/>
        <v>0</v>
      </c>
      <c r="Y385" s="263"/>
      <c r="Z385" s="263"/>
      <c r="AB385" s="265" t="str">
        <f t="shared" si="53"/>
        <v/>
      </c>
    </row>
    <row r="386" spans="1:28" s="264" customFormat="1" ht="20.399999999999999">
      <c r="A386" s="207"/>
      <c r="B386" s="208"/>
      <c r="C386" s="212"/>
      <c r="D386" s="270"/>
      <c r="E386" s="208"/>
      <c r="F386" s="208"/>
      <c r="G386" s="208"/>
      <c r="H386" s="209"/>
      <c r="I386" s="210"/>
      <c r="J386" s="210"/>
      <c r="K386" s="260"/>
      <c r="L386" s="260"/>
      <c r="M386" s="260"/>
      <c r="N386" s="260"/>
      <c r="O386" s="260"/>
      <c r="P386" s="211"/>
      <c r="Q386" s="261"/>
      <c r="R386" s="208" t="str">
        <f ca="1">IF(ISERROR($V386),"",OFFSET('Smelter Look-up'!$C$4,$V386-4,0)&amp;"")</f>
        <v/>
      </c>
      <c r="S386" s="215" t="str">
        <f t="shared" ca="1" si="51"/>
        <v/>
      </c>
      <c r="T386" s="215" t="str">
        <f ca="1">IF(B386="","",IF(ISERROR(MATCH($J386,SorP!$B$1:$B$6230,0)),"",INDIRECT("'SorP'!$A$"&amp;MATCH($J386,SorP!$B$1:$B$6230,0))))</f>
        <v/>
      </c>
      <c r="U386" s="231"/>
      <c r="V386" s="262" t="e">
        <f>IF(C386="",NA(),IF(OR(C386="Smelter not listed",C386="Smelter not yet identified"),MATCH($B386&amp;$D386,'Smelter Look-up'!$J:$J,0),MATCH($B386&amp;$C386,'Smelter Look-up'!$J:$J,0)))</f>
        <v>#N/A</v>
      </c>
      <c r="W386" s="263"/>
      <c r="X386" s="263">
        <f t="shared" si="52"/>
        <v>0</v>
      </c>
      <c r="Y386" s="263"/>
      <c r="Z386" s="263"/>
      <c r="AB386" s="265" t="str">
        <f t="shared" si="53"/>
        <v/>
      </c>
    </row>
    <row r="387" spans="1:28" s="264" customFormat="1" ht="20.399999999999999">
      <c r="A387" s="207"/>
      <c r="B387" s="208"/>
      <c r="C387" s="212"/>
      <c r="D387" s="270"/>
      <c r="E387" s="208"/>
      <c r="F387" s="208"/>
      <c r="G387" s="208"/>
      <c r="H387" s="209"/>
      <c r="I387" s="210"/>
      <c r="J387" s="210"/>
      <c r="K387" s="260"/>
      <c r="L387" s="260"/>
      <c r="M387" s="260"/>
      <c r="N387" s="260"/>
      <c r="O387" s="260"/>
      <c r="P387" s="211"/>
      <c r="Q387" s="261"/>
      <c r="R387" s="208" t="str">
        <f ca="1">IF(ISERROR($V387),"",OFFSET('Smelter Look-up'!$C$4,$V387-4,0)&amp;"")</f>
        <v/>
      </c>
      <c r="S387" s="215" t="str">
        <f t="shared" ca="1" si="51"/>
        <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si="52"/>
        <v>0</v>
      </c>
      <c r="Y387" s="263"/>
      <c r="Z387" s="263"/>
      <c r="AB387" s="265" t="str">
        <f t="shared" si="53"/>
        <v/>
      </c>
    </row>
    <row r="388" spans="1:28" s="264" customFormat="1" ht="20.399999999999999">
      <c r="A388" s="207"/>
      <c r="B388" s="208"/>
      <c r="C388" s="212"/>
      <c r="D388" s="270"/>
      <c r="E388" s="208"/>
      <c r="F388" s="208"/>
      <c r="G388" s="208"/>
      <c r="H388" s="209"/>
      <c r="I388" s="210"/>
      <c r="J388" s="210"/>
      <c r="K388" s="260"/>
      <c r="L388" s="260"/>
      <c r="M388" s="260"/>
      <c r="N388" s="260"/>
      <c r="O388" s="260"/>
      <c r="P388" s="211"/>
      <c r="Q388" s="261"/>
      <c r="R388" s="208" t="str">
        <f ca="1">IF(ISERROR($V388),"",OFFSET('Smelter Look-up'!$C$4,$V388-4,0)&amp;"")</f>
        <v/>
      </c>
      <c r="S388" s="215" t="str">
        <f t="shared" ca="1" si="51"/>
        <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si="52"/>
        <v>0</v>
      </c>
      <c r="Y388" s="263"/>
      <c r="Z388" s="263"/>
      <c r="AB388" s="265" t="str">
        <f t="shared" si="53"/>
        <v/>
      </c>
    </row>
    <row r="389" spans="1:28" s="264" customFormat="1" ht="20.399999999999999">
      <c r="A389" s="207"/>
      <c r="B389" s="208"/>
      <c r="C389" s="212"/>
      <c r="D389" s="270"/>
      <c r="E389" s="208"/>
      <c r="F389" s="208"/>
      <c r="G389" s="208"/>
      <c r="H389" s="209"/>
      <c r="I389" s="210"/>
      <c r="J389" s="210"/>
      <c r="K389" s="260"/>
      <c r="L389" s="260"/>
      <c r="M389" s="260"/>
      <c r="N389" s="260"/>
      <c r="O389" s="260"/>
      <c r="P389" s="211"/>
      <c r="Q389" s="261"/>
      <c r="R389" s="208" t="str">
        <f ca="1">IF(ISERROR($V389),"",OFFSET('Smelter Look-up'!$C$4,$V389-4,0)&amp;"")</f>
        <v/>
      </c>
      <c r="S389" s="215" t="str">
        <f t="shared" ref="S389" ca="1" si="54">IF(B389="","",IF(ISERROR(MATCH($E389,CL,0)),"Unknown",INDIRECT("'C'!$A$"&amp;MATCH($E389,CL,0)+1)))</f>
        <v/>
      </c>
      <c r="T389" s="215" t="str">
        <f ca="1">IF(B389="","",IF(ISERROR(MATCH($J389,SorP!$B$1:$B$6230,0)),"",INDIRECT("'SorP'!$A$"&amp;MATCH($J389,SorP!$B$1:$B$6230,0))))</f>
        <v/>
      </c>
      <c r="U389" s="231"/>
      <c r="V389" s="262" t="e">
        <f>IF(C389="",NA(),IF(OR(C389="Smelter not listed",C389="Smelter not yet identified"),MATCH($B389&amp;$D389,'Smelter Look-up'!$J:$J,0),MATCH($B389&amp;$C389,'Smelter Look-up'!$J:$J,0)))</f>
        <v>#N/A</v>
      </c>
      <c r="W389" s="263"/>
      <c r="X389" s="263">
        <f t="shared" ref="X389" si="55">IF(AND(C389="Smelter not listed",OR(LEN(D389)=0,LEN(E389)=0)),1,0)</f>
        <v>0</v>
      </c>
      <c r="Y389" s="263"/>
      <c r="Z389" s="263"/>
      <c r="AB389" s="265" t="str">
        <f t="shared" ref="AB389" si="56">B389&amp;C389</f>
        <v/>
      </c>
    </row>
    <row r="390" spans="1:28" s="264" customFormat="1" ht="20.399999999999999">
      <c r="A390" s="207"/>
      <c r="B390" s="208"/>
      <c r="C390" s="212"/>
      <c r="D390" s="270"/>
      <c r="E390" s="208"/>
      <c r="F390" s="208"/>
      <c r="G390" s="208"/>
      <c r="H390" s="209"/>
      <c r="I390" s="210"/>
      <c r="J390" s="210"/>
      <c r="K390" s="260"/>
      <c r="L390" s="260"/>
      <c r="M390" s="260"/>
      <c r="N390" s="260"/>
      <c r="O390" s="260"/>
      <c r="P390" s="211"/>
      <c r="Q390" s="261"/>
      <c r="R390" s="208" t="str">
        <f ca="1">IF(ISERROR($V390),"",OFFSET('Smelter Look-up'!$C$4,$V390-4,0)&amp;"")</f>
        <v/>
      </c>
      <c r="S390" s="215" t="str">
        <f t="shared" ref="S390:S421" ca="1" si="57">IF(B390="","",IF(ISERROR(MATCH($E390,CL,0)),"Unknown",INDIRECT("'C'!$A$"&amp;MATCH($E390,CL,0)+1)))</f>
        <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ref="X390:X421" si="58">IF(AND(C390="Smelter not listed",OR(LEN(D390)=0,LEN(E390)=0)),1,0)</f>
        <v>0</v>
      </c>
      <c r="Y390" s="263"/>
      <c r="Z390" s="263"/>
      <c r="AB390" s="265" t="str">
        <f t="shared" ref="AB390:AB421" si="59">B390&amp;C390</f>
        <v/>
      </c>
    </row>
    <row r="391" spans="1:28" s="264" customFormat="1" ht="20.399999999999999">
      <c r="A391" s="207"/>
      <c r="B391" s="208"/>
      <c r="C391" s="212"/>
      <c r="D391" s="270"/>
      <c r="E391" s="208"/>
      <c r="F391" s="208"/>
      <c r="G391" s="208"/>
      <c r="H391" s="209"/>
      <c r="I391" s="210"/>
      <c r="J391" s="210"/>
      <c r="K391" s="260"/>
      <c r="L391" s="260"/>
      <c r="M391" s="260"/>
      <c r="N391" s="260"/>
      <c r="O391" s="260"/>
      <c r="P391" s="211"/>
      <c r="Q391" s="261"/>
      <c r="R391" s="208" t="str">
        <f ca="1">IF(ISERROR($V391),"",OFFSET('Smelter Look-up'!$C$4,$V391-4,0)&amp;"")</f>
        <v/>
      </c>
      <c r="S391" s="215" t="str">
        <f t="shared" ca="1" si="57"/>
        <v/>
      </c>
      <c r="T391" s="215" t="str">
        <f ca="1">IF(B391="","",IF(ISERROR(MATCH($J391,SorP!$B$1:$B$6230,0)),"",INDIRECT("'SorP'!$A$"&amp;MATCH($J391,SorP!$B$1:$B$6230,0))))</f>
        <v/>
      </c>
      <c r="U391" s="231"/>
      <c r="V391" s="262" t="e">
        <f>IF(C391="",NA(),IF(OR(C391="Smelter not listed",C391="Smelter not yet identified"),MATCH($B391&amp;$D391,'Smelter Look-up'!$J:$J,0),MATCH($B391&amp;$C391,'Smelter Look-up'!$J:$J,0)))</f>
        <v>#N/A</v>
      </c>
      <c r="W391" s="263"/>
      <c r="X391" s="263">
        <f t="shared" si="58"/>
        <v>0</v>
      </c>
      <c r="Y391" s="263"/>
      <c r="Z391" s="263"/>
      <c r="AB391" s="265" t="str">
        <f t="shared" si="59"/>
        <v/>
      </c>
    </row>
    <row r="392" spans="1:28" s="264" customFormat="1" ht="20.399999999999999">
      <c r="A392" s="207"/>
      <c r="B392" s="208"/>
      <c r="C392" s="212"/>
      <c r="D392" s="270"/>
      <c r="E392" s="208"/>
      <c r="F392" s="208"/>
      <c r="G392" s="208"/>
      <c r="H392" s="209"/>
      <c r="I392" s="210"/>
      <c r="J392" s="210"/>
      <c r="K392" s="260"/>
      <c r="L392" s="260"/>
      <c r="M392" s="260"/>
      <c r="N392" s="260"/>
      <c r="O392" s="260"/>
      <c r="P392" s="211"/>
      <c r="Q392" s="261"/>
      <c r="R392" s="208" t="str">
        <f ca="1">IF(ISERROR($V392),"",OFFSET('Smelter Look-up'!$C$4,$V392-4,0)&amp;"")</f>
        <v/>
      </c>
      <c r="S392" s="215" t="str">
        <f t="shared" ca="1" si="57"/>
        <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si="58"/>
        <v>0</v>
      </c>
      <c r="Y392" s="263"/>
      <c r="Z392" s="263"/>
      <c r="AB392" s="265" t="str">
        <f t="shared" si="59"/>
        <v/>
      </c>
    </row>
    <row r="393" spans="1:28" s="264" customFormat="1" ht="20.399999999999999">
      <c r="A393" s="207"/>
      <c r="B393" s="208"/>
      <c r="C393" s="212"/>
      <c r="D393" s="270"/>
      <c r="E393" s="208"/>
      <c r="F393" s="208"/>
      <c r="G393" s="208"/>
      <c r="H393" s="209"/>
      <c r="I393" s="210"/>
      <c r="J393" s="210"/>
      <c r="K393" s="260"/>
      <c r="L393" s="260"/>
      <c r="M393" s="260"/>
      <c r="N393" s="260"/>
      <c r="O393" s="260"/>
      <c r="P393" s="211"/>
      <c r="Q393" s="261"/>
      <c r="R393" s="208" t="str">
        <f ca="1">IF(ISERROR($V393),"",OFFSET('Smelter Look-up'!$C$4,$V393-4,0)&amp;"")</f>
        <v/>
      </c>
      <c r="S393" s="215" t="str">
        <f t="shared" ca="1" si="57"/>
        <v/>
      </c>
      <c r="T393" s="215" t="str">
        <f ca="1">IF(B393="","",IF(ISERROR(MATCH($J393,SorP!$B$1:$B$6230,0)),"",INDIRECT("'SorP'!$A$"&amp;MATCH($J393,SorP!$B$1:$B$6230,0))))</f>
        <v/>
      </c>
      <c r="U393" s="231"/>
      <c r="V393" s="262" t="e">
        <f>IF(C393="",NA(),IF(OR(C393="Smelter not listed",C393="Smelter not yet identified"),MATCH($B393&amp;$D393,'Smelter Look-up'!$J:$J,0),MATCH($B393&amp;$C393,'Smelter Look-up'!$J:$J,0)))</f>
        <v>#N/A</v>
      </c>
      <c r="W393" s="263"/>
      <c r="X393" s="263">
        <f t="shared" si="58"/>
        <v>0</v>
      </c>
      <c r="Y393" s="263"/>
      <c r="Z393" s="263"/>
      <c r="AB393" s="265" t="str">
        <f t="shared" si="59"/>
        <v/>
      </c>
    </row>
    <row r="394" spans="1:28" s="264" customFormat="1" ht="20.399999999999999">
      <c r="A394" s="207"/>
      <c r="B394" s="208"/>
      <c r="C394" s="212"/>
      <c r="D394" s="270"/>
      <c r="E394" s="208"/>
      <c r="F394" s="208"/>
      <c r="G394" s="208"/>
      <c r="H394" s="209"/>
      <c r="I394" s="210"/>
      <c r="J394" s="210"/>
      <c r="K394" s="260"/>
      <c r="L394" s="260"/>
      <c r="M394" s="260"/>
      <c r="N394" s="260"/>
      <c r="O394" s="260"/>
      <c r="P394" s="211"/>
      <c r="Q394" s="261"/>
      <c r="R394" s="208" t="str">
        <f ca="1">IF(ISERROR($V394),"",OFFSET('Smelter Look-up'!$C$4,$V394-4,0)&amp;"")</f>
        <v/>
      </c>
      <c r="S394" s="215" t="str">
        <f t="shared" ca="1" si="57"/>
        <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si="58"/>
        <v>0</v>
      </c>
      <c r="Y394" s="263"/>
      <c r="Z394" s="263"/>
      <c r="AB394" s="265" t="str">
        <f t="shared" si="59"/>
        <v/>
      </c>
    </row>
    <row r="395" spans="1:28" s="264" customFormat="1" ht="20.399999999999999">
      <c r="A395" s="207"/>
      <c r="B395" s="208"/>
      <c r="C395" s="212"/>
      <c r="D395" s="270"/>
      <c r="E395" s="208"/>
      <c r="F395" s="208"/>
      <c r="G395" s="208"/>
      <c r="H395" s="209"/>
      <c r="I395" s="210"/>
      <c r="J395" s="210"/>
      <c r="K395" s="260"/>
      <c r="L395" s="260"/>
      <c r="M395" s="260"/>
      <c r="N395" s="260"/>
      <c r="O395" s="260"/>
      <c r="P395" s="211"/>
      <c r="Q395" s="261"/>
      <c r="R395" s="208" t="str">
        <f ca="1">IF(ISERROR($V395),"",OFFSET('Smelter Look-up'!$C$4,$V395-4,0)&amp;"")</f>
        <v/>
      </c>
      <c r="S395" s="215" t="str">
        <f t="shared" ca="1" si="57"/>
        <v/>
      </c>
      <c r="T395" s="215" t="str">
        <f ca="1">IF(B395="","",IF(ISERROR(MATCH($J395,SorP!$B$1:$B$6230,0)),"",INDIRECT("'SorP'!$A$"&amp;MATCH($J395,SorP!$B$1:$B$6230,0))))</f>
        <v/>
      </c>
      <c r="U395" s="231"/>
      <c r="V395" s="262" t="e">
        <f>IF(C395="",NA(),IF(OR(C395="Smelter not listed",C395="Smelter not yet identified"),MATCH($B395&amp;$D395,'Smelter Look-up'!$J:$J,0),MATCH($B395&amp;$C395,'Smelter Look-up'!$J:$J,0)))</f>
        <v>#N/A</v>
      </c>
      <c r="W395" s="263"/>
      <c r="X395" s="263">
        <f t="shared" si="58"/>
        <v>0</v>
      </c>
      <c r="Y395" s="263"/>
      <c r="Z395" s="263"/>
      <c r="AB395" s="265" t="str">
        <f t="shared" si="59"/>
        <v/>
      </c>
    </row>
    <row r="396" spans="1:28" s="264" customFormat="1" ht="20.399999999999999">
      <c r="A396" s="207"/>
      <c r="B396" s="208"/>
      <c r="C396" s="212"/>
      <c r="D396" s="270"/>
      <c r="E396" s="208"/>
      <c r="F396" s="208"/>
      <c r="G396" s="208"/>
      <c r="H396" s="209"/>
      <c r="I396" s="210"/>
      <c r="J396" s="210"/>
      <c r="K396" s="260"/>
      <c r="L396" s="260"/>
      <c r="M396" s="260"/>
      <c r="N396" s="260"/>
      <c r="O396" s="260"/>
      <c r="P396" s="211"/>
      <c r="Q396" s="261"/>
      <c r="R396" s="208" t="str">
        <f ca="1">IF(ISERROR($V396),"",OFFSET('Smelter Look-up'!$C$4,$V396-4,0)&amp;"")</f>
        <v/>
      </c>
      <c r="S396" s="215" t="str">
        <f t="shared" ca="1" si="57"/>
        <v/>
      </c>
      <c r="T396" s="215" t="str">
        <f ca="1">IF(B396="","",IF(ISERROR(MATCH($J396,SorP!$B$1:$B$6230,0)),"",INDIRECT("'SorP'!$A$"&amp;MATCH($J396,SorP!$B$1:$B$6230,0))))</f>
        <v/>
      </c>
      <c r="U396" s="231"/>
      <c r="V396" s="262" t="e">
        <f>IF(C396="",NA(),IF(OR(C396="Smelter not listed",C396="Smelter not yet identified"),MATCH($B396&amp;$D396,'Smelter Look-up'!$J:$J,0),MATCH($B396&amp;$C396,'Smelter Look-up'!$J:$J,0)))</f>
        <v>#N/A</v>
      </c>
      <c r="W396" s="263"/>
      <c r="X396" s="263">
        <f t="shared" si="58"/>
        <v>0</v>
      </c>
      <c r="Y396" s="263"/>
      <c r="Z396" s="263"/>
      <c r="AB396" s="265" t="str">
        <f t="shared" si="59"/>
        <v/>
      </c>
    </row>
    <row r="397" spans="1:28" s="264" customFormat="1" ht="20.399999999999999">
      <c r="A397" s="207"/>
      <c r="B397" s="208"/>
      <c r="C397" s="212"/>
      <c r="D397" s="270"/>
      <c r="E397" s="208"/>
      <c r="F397" s="208"/>
      <c r="G397" s="208"/>
      <c r="H397" s="209"/>
      <c r="I397" s="210"/>
      <c r="J397" s="210"/>
      <c r="K397" s="260"/>
      <c r="L397" s="260"/>
      <c r="M397" s="260"/>
      <c r="N397" s="260"/>
      <c r="O397" s="260"/>
      <c r="P397" s="211"/>
      <c r="Q397" s="261"/>
      <c r="R397" s="208" t="str">
        <f ca="1">IF(ISERROR($V397),"",OFFSET('Smelter Look-up'!$C$4,$V397-4,0)&amp;"")</f>
        <v/>
      </c>
      <c r="S397" s="215" t="str">
        <f t="shared" ca="1" si="57"/>
        <v/>
      </c>
      <c r="T397" s="215" t="str">
        <f ca="1">IF(B397="","",IF(ISERROR(MATCH($J397,SorP!$B$1:$B$6230,0)),"",INDIRECT("'SorP'!$A$"&amp;MATCH($J397,SorP!$B$1:$B$6230,0))))</f>
        <v/>
      </c>
      <c r="U397" s="231"/>
      <c r="V397" s="262" t="e">
        <f>IF(C397="",NA(),IF(OR(C397="Smelter not listed",C397="Smelter not yet identified"),MATCH($B397&amp;$D397,'Smelter Look-up'!$J:$J,0),MATCH($B397&amp;$C397,'Smelter Look-up'!$J:$J,0)))</f>
        <v>#N/A</v>
      </c>
      <c r="W397" s="263"/>
      <c r="X397" s="263">
        <f t="shared" si="58"/>
        <v>0</v>
      </c>
      <c r="Y397" s="263"/>
      <c r="Z397" s="263"/>
      <c r="AB397" s="265" t="str">
        <f t="shared" si="59"/>
        <v/>
      </c>
    </row>
    <row r="398" spans="1:28" s="264" customFormat="1" ht="20.399999999999999">
      <c r="A398" s="207"/>
      <c r="B398" s="208"/>
      <c r="C398" s="212"/>
      <c r="D398" s="270"/>
      <c r="E398" s="208"/>
      <c r="F398" s="208"/>
      <c r="G398" s="208"/>
      <c r="H398" s="209"/>
      <c r="I398" s="210"/>
      <c r="J398" s="210"/>
      <c r="K398" s="260"/>
      <c r="L398" s="260"/>
      <c r="M398" s="260"/>
      <c r="N398" s="260"/>
      <c r="O398" s="260"/>
      <c r="P398" s="211"/>
      <c r="Q398" s="261"/>
      <c r="R398" s="208" t="str">
        <f ca="1">IF(ISERROR($V398),"",OFFSET('Smelter Look-up'!$C$4,$V398-4,0)&amp;"")</f>
        <v/>
      </c>
      <c r="S398" s="215" t="str">
        <f t="shared" ca="1" si="57"/>
        <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si="58"/>
        <v>0</v>
      </c>
      <c r="Y398" s="263"/>
      <c r="Z398" s="263"/>
      <c r="AB398" s="265" t="str">
        <f t="shared" si="59"/>
        <v/>
      </c>
    </row>
    <row r="399" spans="1:28" s="264" customFormat="1" ht="20.399999999999999">
      <c r="A399" s="207"/>
      <c r="B399" s="208"/>
      <c r="C399" s="212"/>
      <c r="D399" s="270"/>
      <c r="E399" s="208"/>
      <c r="F399" s="208"/>
      <c r="G399" s="208"/>
      <c r="H399" s="209"/>
      <c r="I399" s="210"/>
      <c r="J399" s="210"/>
      <c r="K399" s="260"/>
      <c r="L399" s="260"/>
      <c r="M399" s="260"/>
      <c r="N399" s="260"/>
      <c r="O399" s="260"/>
      <c r="P399" s="211"/>
      <c r="Q399" s="261"/>
      <c r="R399" s="208" t="str">
        <f ca="1">IF(ISERROR($V399),"",OFFSET('Smelter Look-up'!$C$4,$V399-4,0)&amp;"")</f>
        <v/>
      </c>
      <c r="S399" s="215" t="str">
        <f t="shared" ca="1" si="57"/>
        <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si="58"/>
        <v>0</v>
      </c>
      <c r="Y399" s="263"/>
      <c r="Z399" s="263"/>
      <c r="AB399" s="265" t="str">
        <f t="shared" si="59"/>
        <v/>
      </c>
    </row>
    <row r="400" spans="1:28" s="264" customFormat="1" ht="20.399999999999999">
      <c r="A400" s="207"/>
      <c r="B400" s="208"/>
      <c r="C400" s="212"/>
      <c r="D400" s="270"/>
      <c r="E400" s="208"/>
      <c r="F400" s="208"/>
      <c r="G400" s="208"/>
      <c r="H400" s="209"/>
      <c r="I400" s="210"/>
      <c r="J400" s="210"/>
      <c r="K400" s="260"/>
      <c r="L400" s="260"/>
      <c r="M400" s="260"/>
      <c r="N400" s="260"/>
      <c r="O400" s="260"/>
      <c r="P400" s="211"/>
      <c r="Q400" s="261"/>
      <c r="R400" s="208" t="str">
        <f ca="1">IF(ISERROR($V400),"",OFFSET('Smelter Look-up'!$C$4,$V400-4,0)&amp;"")</f>
        <v/>
      </c>
      <c r="S400" s="215" t="str">
        <f t="shared" ca="1" si="57"/>
        <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si="58"/>
        <v>0</v>
      </c>
      <c r="Y400" s="263"/>
      <c r="Z400" s="263"/>
      <c r="AB400" s="265" t="str">
        <f t="shared" si="59"/>
        <v/>
      </c>
    </row>
    <row r="401" spans="1:28" s="264" customFormat="1" ht="20.399999999999999">
      <c r="A401" s="207"/>
      <c r="B401" s="208"/>
      <c r="C401" s="212"/>
      <c r="D401" s="270"/>
      <c r="E401" s="208"/>
      <c r="F401" s="208"/>
      <c r="G401" s="208"/>
      <c r="H401" s="209"/>
      <c r="I401" s="210"/>
      <c r="J401" s="210"/>
      <c r="K401" s="260"/>
      <c r="L401" s="260"/>
      <c r="M401" s="260"/>
      <c r="N401" s="260"/>
      <c r="O401" s="260"/>
      <c r="P401" s="211"/>
      <c r="Q401" s="261"/>
      <c r="R401" s="208" t="str">
        <f ca="1">IF(ISERROR($V401),"",OFFSET('Smelter Look-up'!$C$4,$V401-4,0)&amp;"")</f>
        <v/>
      </c>
      <c r="S401" s="215" t="str">
        <f t="shared" ca="1" si="57"/>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si="58"/>
        <v>0</v>
      </c>
      <c r="Y401" s="263"/>
      <c r="Z401" s="263"/>
      <c r="AB401" s="265" t="str">
        <f t="shared" si="59"/>
        <v/>
      </c>
    </row>
    <row r="402" spans="1:28" s="264" customFormat="1" ht="20.399999999999999">
      <c r="A402" s="207"/>
      <c r="B402" s="208"/>
      <c r="C402" s="212"/>
      <c r="D402" s="270"/>
      <c r="E402" s="208"/>
      <c r="F402" s="208"/>
      <c r="G402" s="208"/>
      <c r="H402" s="209"/>
      <c r="I402" s="210"/>
      <c r="J402" s="210"/>
      <c r="K402" s="260"/>
      <c r="L402" s="260"/>
      <c r="M402" s="260"/>
      <c r="N402" s="260"/>
      <c r="O402" s="260"/>
      <c r="P402" s="211"/>
      <c r="Q402" s="261"/>
      <c r="R402" s="208" t="str">
        <f ca="1">IF(ISERROR($V402),"",OFFSET('Smelter Look-up'!$C$4,$V402-4,0)&amp;"")</f>
        <v/>
      </c>
      <c r="S402" s="215" t="str">
        <f t="shared" ca="1" si="57"/>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si="58"/>
        <v>0</v>
      </c>
      <c r="Y402" s="263"/>
      <c r="Z402" s="263"/>
      <c r="AB402" s="265" t="str">
        <f t="shared" si="59"/>
        <v/>
      </c>
    </row>
    <row r="403" spans="1:28" s="264" customFormat="1" ht="20.399999999999999">
      <c r="A403" s="207"/>
      <c r="B403" s="208"/>
      <c r="C403" s="212"/>
      <c r="D403" s="270"/>
      <c r="E403" s="208"/>
      <c r="F403" s="208"/>
      <c r="G403" s="208"/>
      <c r="H403" s="209"/>
      <c r="I403" s="210"/>
      <c r="J403" s="210"/>
      <c r="K403" s="260"/>
      <c r="L403" s="260"/>
      <c r="M403" s="260"/>
      <c r="N403" s="260"/>
      <c r="O403" s="260"/>
      <c r="P403" s="211"/>
      <c r="Q403" s="261"/>
      <c r="R403" s="208" t="str">
        <f ca="1">IF(ISERROR($V403),"",OFFSET('Smelter Look-up'!$C$4,$V403-4,0)&amp;"")</f>
        <v/>
      </c>
      <c r="S403" s="215" t="str">
        <f t="shared" ca="1" si="57"/>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si="58"/>
        <v>0</v>
      </c>
      <c r="Y403" s="263"/>
      <c r="Z403" s="263"/>
      <c r="AB403" s="265" t="str">
        <f t="shared" si="59"/>
        <v/>
      </c>
    </row>
    <row r="404" spans="1:28" s="264" customFormat="1" ht="20.399999999999999">
      <c r="A404" s="207"/>
      <c r="B404" s="208"/>
      <c r="C404" s="212"/>
      <c r="D404" s="270"/>
      <c r="E404" s="208"/>
      <c r="F404" s="208"/>
      <c r="G404" s="208"/>
      <c r="H404" s="209"/>
      <c r="I404" s="210"/>
      <c r="J404" s="210"/>
      <c r="K404" s="260"/>
      <c r="L404" s="260"/>
      <c r="M404" s="260"/>
      <c r="N404" s="260"/>
      <c r="O404" s="260"/>
      <c r="P404" s="211"/>
      <c r="Q404" s="261"/>
      <c r="R404" s="208" t="str">
        <f ca="1">IF(ISERROR($V404),"",OFFSET('Smelter Look-up'!$C$4,$V404-4,0)&amp;"")</f>
        <v/>
      </c>
      <c r="S404" s="215" t="str">
        <f t="shared" ca="1" si="57"/>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si="58"/>
        <v>0</v>
      </c>
      <c r="Y404" s="263"/>
      <c r="Z404" s="263"/>
      <c r="AB404" s="265" t="str">
        <f t="shared" si="59"/>
        <v/>
      </c>
    </row>
    <row r="405" spans="1:28" s="264" customFormat="1" ht="20.399999999999999">
      <c r="A405" s="207"/>
      <c r="B405" s="208"/>
      <c r="C405" s="212"/>
      <c r="D405" s="270"/>
      <c r="E405" s="208"/>
      <c r="F405" s="208"/>
      <c r="G405" s="208"/>
      <c r="H405" s="209"/>
      <c r="I405" s="210"/>
      <c r="J405" s="210"/>
      <c r="K405" s="260"/>
      <c r="L405" s="260"/>
      <c r="M405" s="260"/>
      <c r="N405" s="260"/>
      <c r="O405" s="260"/>
      <c r="P405" s="211"/>
      <c r="Q405" s="261"/>
      <c r="R405" s="208" t="str">
        <f ca="1">IF(ISERROR($V405),"",OFFSET('Smelter Look-up'!$C$4,$V405-4,0)&amp;"")</f>
        <v/>
      </c>
      <c r="S405" s="215" t="str">
        <f t="shared" ca="1" si="57"/>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si="58"/>
        <v>0</v>
      </c>
      <c r="Y405" s="263"/>
      <c r="Z405" s="263"/>
      <c r="AB405" s="265" t="str">
        <f t="shared" si="59"/>
        <v/>
      </c>
    </row>
    <row r="406" spans="1:28" s="264" customFormat="1" ht="20.399999999999999">
      <c r="A406" s="207"/>
      <c r="B406" s="208"/>
      <c r="C406" s="212"/>
      <c r="D406" s="270"/>
      <c r="E406" s="208"/>
      <c r="F406" s="208"/>
      <c r="G406" s="208"/>
      <c r="H406" s="209"/>
      <c r="I406" s="210"/>
      <c r="J406" s="210"/>
      <c r="K406" s="260"/>
      <c r="L406" s="260"/>
      <c r="M406" s="260"/>
      <c r="N406" s="260"/>
      <c r="O406" s="260"/>
      <c r="P406" s="211"/>
      <c r="Q406" s="261"/>
      <c r="R406" s="208" t="str">
        <f ca="1">IF(ISERROR($V406),"",OFFSET('Smelter Look-up'!$C$4,$V406-4,0)&amp;"")</f>
        <v/>
      </c>
      <c r="S406" s="215" t="str">
        <f t="shared" ca="1" si="57"/>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si="58"/>
        <v>0</v>
      </c>
      <c r="Y406" s="263"/>
      <c r="Z406" s="263"/>
      <c r="AB406" s="265" t="str">
        <f t="shared" si="59"/>
        <v/>
      </c>
    </row>
    <row r="407" spans="1:28" s="264" customFormat="1" ht="20.399999999999999">
      <c r="A407" s="207"/>
      <c r="B407" s="208"/>
      <c r="C407" s="212"/>
      <c r="D407" s="270"/>
      <c r="E407" s="208"/>
      <c r="F407" s="208"/>
      <c r="G407" s="208"/>
      <c r="H407" s="209"/>
      <c r="I407" s="210"/>
      <c r="J407" s="210"/>
      <c r="K407" s="260"/>
      <c r="L407" s="260"/>
      <c r="M407" s="260"/>
      <c r="N407" s="260"/>
      <c r="O407" s="260"/>
      <c r="P407" s="211"/>
      <c r="Q407" s="261"/>
      <c r="R407" s="208" t="str">
        <f ca="1">IF(ISERROR($V407),"",OFFSET('Smelter Look-up'!$C$4,$V407-4,0)&amp;"")</f>
        <v/>
      </c>
      <c r="S407" s="215" t="str">
        <f t="shared" ca="1" si="57"/>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si="58"/>
        <v>0</v>
      </c>
      <c r="Y407" s="263"/>
      <c r="Z407" s="263"/>
      <c r="AB407" s="265" t="str">
        <f t="shared" si="59"/>
        <v/>
      </c>
    </row>
    <row r="408" spans="1:28" s="264" customFormat="1" ht="20.399999999999999">
      <c r="A408" s="207"/>
      <c r="B408" s="208"/>
      <c r="C408" s="212"/>
      <c r="D408" s="270"/>
      <c r="E408" s="208"/>
      <c r="F408" s="208"/>
      <c r="G408" s="208"/>
      <c r="H408" s="209"/>
      <c r="I408" s="210"/>
      <c r="J408" s="210"/>
      <c r="K408" s="260"/>
      <c r="L408" s="260"/>
      <c r="M408" s="260"/>
      <c r="N408" s="260"/>
      <c r="O408" s="260"/>
      <c r="P408" s="211"/>
      <c r="Q408" s="261"/>
      <c r="R408" s="208" t="str">
        <f ca="1">IF(ISERROR($V408),"",OFFSET('Smelter Look-up'!$C$4,$V408-4,0)&amp;"")</f>
        <v/>
      </c>
      <c r="S408" s="215" t="str">
        <f t="shared" ca="1" si="57"/>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si="58"/>
        <v>0</v>
      </c>
      <c r="Y408" s="263"/>
      <c r="Z408" s="263"/>
      <c r="AB408" s="265" t="str">
        <f t="shared" si="59"/>
        <v/>
      </c>
    </row>
    <row r="409" spans="1:28" s="264" customFormat="1" ht="20.399999999999999">
      <c r="A409" s="207"/>
      <c r="B409" s="208"/>
      <c r="C409" s="212"/>
      <c r="D409" s="270"/>
      <c r="E409" s="208"/>
      <c r="F409" s="208"/>
      <c r="G409" s="208"/>
      <c r="H409" s="209"/>
      <c r="I409" s="210"/>
      <c r="J409" s="210"/>
      <c r="K409" s="260"/>
      <c r="L409" s="260"/>
      <c r="M409" s="260"/>
      <c r="N409" s="260"/>
      <c r="O409" s="260"/>
      <c r="P409" s="211"/>
      <c r="Q409" s="261"/>
      <c r="R409" s="208" t="str">
        <f ca="1">IF(ISERROR($V409),"",OFFSET('Smelter Look-up'!$C$4,$V409-4,0)&amp;"")</f>
        <v/>
      </c>
      <c r="S409" s="215" t="str">
        <f t="shared" ca="1" si="57"/>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si="58"/>
        <v>0</v>
      </c>
      <c r="Y409" s="263"/>
      <c r="Z409" s="263"/>
      <c r="AB409" s="265" t="str">
        <f t="shared" si="59"/>
        <v/>
      </c>
    </row>
    <row r="410" spans="1:28" s="264" customFormat="1" ht="20.399999999999999">
      <c r="A410" s="207"/>
      <c r="B410" s="208"/>
      <c r="C410" s="212"/>
      <c r="D410" s="270"/>
      <c r="E410" s="208"/>
      <c r="F410" s="208"/>
      <c r="G410" s="208"/>
      <c r="H410" s="209"/>
      <c r="I410" s="210"/>
      <c r="J410" s="210"/>
      <c r="K410" s="260"/>
      <c r="L410" s="260"/>
      <c r="M410" s="260"/>
      <c r="N410" s="260"/>
      <c r="O410" s="260"/>
      <c r="P410" s="211"/>
      <c r="Q410" s="261"/>
      <c r="R410" s="208" t="str">
        <f ca="1">IF(ISERROR($V410),"",OFFSET('Smelter Look-up'!$C$4,$V410-4,0)&amp;"")</f>
        <v/>
      </c>
      <c r="S410" s="215" t="str">
        <f t="shared" ca="1" si="57"/>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si="58"/>
        <v>0</v>
      </c>
      <c r="Y410" s="263"/>
      <c r="Z410" s="263"/>
      <c r="AB410" s="265" t="str">
        <f t="shared" si="59"/>
        <v/>
      </c>
    </row>
    <row r="411" spans="1:28" s="264" customFormat="1" ht="20.399999999999999">
      <c r="A411" s="207"/>
      <c r="B411" s="208"/>
      <c r="C411" s="212"/>
      <c r="D411" s="270"/>
      <c r="E411" s="208"/>
      <c r="F411" s="208"/>
      <c r="G411" s="208"/>
      <c r="H411" s="209"/>
      <c r="I411" s="210"/>
      <c r="J411" s="210"/>
      <c r="K411" s="260"/>
      <c r="L411" s="260"/>
      <c r="M411" s="260"/>
      <c r="N411" s="260"/>
      <c r="O411" s="260"/>
      <c r="P411" s="211"/>
      <c r="Q411" s="261"/>
      <c r="R411" s="208" t="str">
        <f ca="1">IF(ISERROR($V411),"",OFFSET('Smelter Look-up'!$C$4,$V411-4,0)&amp;"")</f>
        <v/>
      </c>
      <c r="S411" s="215" t="str">
        <f t="shared" ca="1" si="57"/>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si="58"/>
        <v>0</v>
      </c>
      <c r="Y411" s="263"/>
      <c r="Z411" s="263"/>
      <c r="AB411" s="265" t="str">
        <f t="shared" si="59"/>
        <v/>
      </c>
    </row>
    <row r="412" spans="1:28" s="264" customFormat="1" ht="20.399999999999999">
      <c r="A412" s="207"/>
      <c r="B412" s="208"/>
      <c r="C412" s="212"/>
      <c r="D412" s="270"/>
      <c r="E412" s="208"/>
      <c r="F412" s="208"/>
      <c r="G412" s="208"/>
      <c r="H412" s="209"/>
      <c r="I412" s="210"/>
      <c r="J412" s="210"/>
      <c r="K412" s="260"/>
      <c r="L412" s="260"/>
      <c r="M412" s="260"/>
      <c r="N412" s="260"/>
      <c r="O412" s="260"/>
      <c r="P412" s="211"/>
      <c r="Q412" s="261"/>
      <c r="R412" s="208" t="str">
        <f ca="1">IF(ISERROR($V412),"",OFFSET('Smelter Look-up'!$C$4,$V412-4,0)&amp;"")</f>
        <v/>
      </c>
      <c r="S412" s="215" t="str">
        <f t="shared" ca="1" si="57"/>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si="58"/>
        <v>0</v>
      </c>
      <c r="Y412" s="263"/>
      <c r="Z412" s="263"/>
      <c r="AB412" s="265" t="str">
        <f t="shared" si="59"/>
        <v/>
      </c>
    </row>
    <row r="413" spans="1:28" s="264" customFormat="1" ht="20.399999999999999">
      <c r="A413" s="207"/>
      <c r="B413" s="208"/>
      <c r="C413" s="212"/>
      <c r="D413" s="270"/>
      <c r="E413" s="208"/>
      <c r="F413" s="208"/>
      <c r="G413" s="208"/>
      <c r="H413" s="209"/>
      <c r="I413" s="210"/>
      <c r="J413" s="210"/>
      <c r="K413" s="260"/>
      <c r="L413" s="260"/>
      <c r="M413" s="260"/>
      <c r="N413" s="260"/>
      <c r="O413" s="260"/>
      <c r="P413" s="211"/>
      <c r="Q413" s="261"/>
      <c r="R413" s="208" t="str">
        <f ca="1">IF(ISERROR($V413),"",OFFSET('Smelter Look-up'!$C$4,$V413-4,0)&amp;"")</f>
        <v/>
      </c>
      <c r="S413" s="215" t="str">
        <f t="shared" ca="1" si="57"/>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si="58"/>
        <v>0</v>
      </c>
      <c r="Y413" s="263"/>
      <c r="Z413" s="263"/>
      <c r="AB413" s="265" t="str">
        <f t="shared" si="59"/>
        <v/>
      </c>
    </row>
    <row r="414" spans="1:28" s="264" customFormat="1" ht="20.399999999999999">
      <c r="A414" s="207"/>
      <c r="B414" s="208"/>
      <c r="C414" s="212"/>
      <c r="D414" s="270"/>
      <c r="E414" s="208"/>
      <c r="F414" s="208"/>
      <c r="G414" s="208"/>
      <c r="H414" s="209"/>
      <c r="I414" s="210"/>
      <c r="J414" s="210"/>
      <c r="K414" s="260"/>
      <c r="L414" s="260"/>
      <c r="M414" s="260"/>
      <c r="N414" s="260"/>
      <c r="O414" s="260"/>
      <c r="P414" s="211"/>
      <c r="Q414" s="261"/>
      <c r="R414" s="208" t="str">
        <f ca="1">IF(ISERROR($V414),"",OFFSET('Smelter Look-up'!$C$4,$V414-4,0)&amp;"")</f>
        <v/>
      </c>
      <c r="S414" s="215" t="str">
        <f t="shared" ca="1" si="57"/>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si="58"/>
        <v>0</v>
      </c>
      <c r="Y414" s="263"/>
      <c r="Z414" s="263"/>
      <c r="AB414" s="265" t="str">
        <f t="shared" si="59"/>
        <v/>
      </c>
    </row>
    <row r="415" spans="1:28" s="264" customFormat="1" ht="20.399999999999999">
      <c r="A415" s="207"/>
      <c r="B415" s="208"/>
      <c r="C415" s="212"/>
      <c r="D415" s="270"/>
      <c r="E415" s="208"/>
      <c r="F415" s="208"/>
      <c r="G415" s="208"/>
      <c r="H415" s="209"/>
      <c r="I415" s="210"/>
      <c r="J415" s="210"/>
      <c r="K415" s="260"/>
      <c r="L415" s="260"/>
      <c r="M415" s="260"/>
      <c r="N415" s="260"/>
      <c r="O415" s="260"/>
      <c r="P415" s="211"/>
      <c r="Q415" s="261"/>
      <c r="R415" s="208" t="str">
        <f ca="1">IF(ISERROR($V415),"",OFFSET('Smelter Look-up'!$C$4,$V415-4,0)&amp;"")</f>
        <v/>
      </c>
      <c r="S415" s="215" t="str">
        <f t="shared" ca="1" si="57"/>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si="58"/>
        <v>0</v>
      </c>
      <c r="Y415" s="263"/>
      <c r="Z415" s="263"/>
      <c r="AB415" s="265" t="str">
        <f t="shared" si="59"/>
        <v/>
      </c>
    </row>
    <row r="416" spans="1:28" s="264" customFormat="1" ht="20.399999999999999">
      <c r="A416" s="207"/>
      <c r="B416" s="208"/>
      <c r="C416" s="212"/>
      <c r="D416" s="270"/>
      <c r="E416" s="208"/>
      <c r="F416" s="208"/>
      <c r="G416" s="208"/>
      <c r="H416" s="209"/>
      <c r="I416" s="210"/>
      <c r="J416" s="210"/>
      <c r="K416" s="260"/>
      <c r="L416" s="260"/>
      <c r="M416" s="260"/>
      <c r="N416" s="260"/>
      <c r="O416" s="260"/>
      <c r="P416" s="211"/>
      <c r="Q416" s="261"/>
      <c r="R416" s="208" t="str">
        <f ca="1">IF(ISERROR($V416),"",OFFSET('Smelter Look-up'!$C$4,$V416-4,0)&amp;"")</f>
        <v/>
      </c>
      <c r="S416" s="215" t="str">
        <f t="shared" ca="1" si="57"/>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si="58"/>
        <v>0</v>
      </c>
      <c r="Y416" s="263"/>
      <c r="Z416" s="263"/>
      <c r="AB416" s="265" t="str">
        <f t="shared" si="59"/>
        <v/>
      </c>
    </row>
    <row r="417" spans="1:28" s="264" customFormat="1" ht="20.399999999999999">
      <c r="A417" s="207"/>
      <c r="B417" s="208"/>
      <c r="C417" s="212"/>
      <c r="D417" s="270"/>
      <c r="E417" s="208"/>
      <c r="F417" s="208"/>
      <c r="G417" s="208"/>
      <c r="H417" s="209"/>
      <c r="I417" s="210"/>
      <c r="J417" s="210"/>
      <c r="K417" s="260"/>
      <c r="L417" s="260"/>
      <c r="M417" s="260"/>
      <c r="N417" s="260"/>
      <c r="O417" s="260"/>
      <c r="P417" s="211"/>
      <c r="Q417" s="261"/>
      <c r="R417" s="208" t="str">
        <f ca="1">IF(ISERROR($V417),"",OFFSET('Smelter Look-up'!$C$4,$V417-4,0)&amp;"")</f>
        <v/>
      </c>
      <c r="S417" s="215" t="str">
        <f t="shared" ca="1" si="57"/>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si="58"/>
        <v>0</v>
      </c>
      <c r="Y417" s="263"/>
      <c r="Z417" s="263"/>
      <c r="AB417" s="265" t="str">
        <f t="shared" si="59"/>
        <v/>
      </c>
    </row>
    <row r="418" spans="1:28" s="264" customFormat="1" ht="20.399999999999999">
      <c r="A418" s="207"/>
      <c r="B418" s="208"/>
      <c r="C418" s="212"/>
      <c r="D418" s="270"/>
      <c r="E418" s="208"/>
      <c r="F418" s="208"/>
      <c r="G418" s="208"/>
      <c r="H418" s="209"/>
      <c r="I418" s="210"/>
      <c r="J418" s="210"/>
      <c r="K418" s="260"/>
      <c r="L418" s="260"/>
      <c r="M418" s="260"/>
      <c r="N418" s="260"/>
      <c r="O418" s="260"/>
      <c r="P418" s="211"/>
      <c r="Q418" s="261"/>
      <c r="R418" s="208" t="str">
        <f ca="1">IF(ISERROR($V418),"",OFFSET('Smelter Look-up'!$C$4,$V418-4,0)&amp;"")</f>
        <v/>
      </c>
      <c r="S418" s="215" t="str">
        <f t="shared" ca="1" si="57"/>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si="58"/>
        <v>0</v>
      </c>
      <c r="Y418" s="263"/>
      <c r="Z418" s="263"/>
      <c r="AB418" s="265" t="str">
        <f t="shared" si="59"/>
        <v/>
      </c>
    </row>
    <row r="419" spans="1:28" s="264" customFormat="1" ht="20.399999999999999">
      <c r="A419" s="207"/>
      <c r="B419" s="208"/>
      <c r="C419" s="212"/>
      <c r="D419" s="270"/>
      <c r="E419" s="208"/>
      <c r="F419" s="208"/>
      <c r="G419" s="208"/>
      <c r="H419" s="209"/>
      <c r="I419" s="210"/>
      <c r="J419" s="210"/>
      <c r="K419" s="260"/>
      <c r="L419" s="260"/>
      <c r="M419" s="260"/>
      <c r="N419" s="260"/>
      <c r="O419" s="260"/>
      <c r="P419" s="211"/>
      <c r="Q419" s="261"/>
      <c r="R419" s="208" t="str">
        <f ca="1">IF(ISERROR($V419),"",OFFSET('Smelter Look-up'!$C$4,$V419-4,0)&amp;"")</f>
        <v/>
      </c>
      <c r="S419" s="215" t="str">
        <f t="shared" ca="1" si="57"/>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si="58"/>
        <v>0</v>
      </c>
      <c r="Y419" s="263"/>
      <c r="Z419" s="263"/>
      <c r="AB419" s="265" t="str">
        <f t="shared" si="59"/>
        <v/>
      </c>
    </row>
    <row r="420" spans="1:28" s="264" customFormat="1" ht="20.399999999999999">
      <c r="A420" s="207"/>
      <c r="B420" s="208"/>
      <c r="C420" s="212"/>
      <c r="D420" s="270"/>
      <c r="E420" s="208"/>
      <c r="F420" s="208"/>
      <c r="G420" s="208"/>
      <c r="H420" s="209"/>
      <c r="I420" s="210"/>
      <c r="J420" s="210"/>
      <c r="K420" s="260"/>
      <c r="L420" s="260"/>
      <c r="M420" s="260"/>
      <c r="N420" s="260"/>
      <c r="O420" s="260"/>
      <c r="P420" s="211"/>
      <c r="Q420" s="261"/>
      <c r="R420" s="208" t="str">
        <f ca="1">IF(ISERROR($V420),"",OFFSET('Smelter Look-up'!$C$4,$V420-4,0)&amp;"")</f>
        <v/>
      </c>
      <c r="S420" s="215" t="str">
        <f t="shared" ca="1" si="57"/>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si="58"/>
        <v>0</v>
      </c>
      <c r="Y420" s="263"/>
      <c r="Z420" s="263"/>
      <c r="AB420" s="265" t="str">
        <f t="shared" si="59"/>
        <v/>
      </c>
    </row>
    <row r="421" spans="1:28" s="264" customFormat="1" ht="20.399999999999999">
      <c r="A421" s="207"/>
      <c r="B421" s="208"/>
      <c r="C421" s="212"/>
      <c r="D421" s="270"/>
      <c r="E421" s="208"/>
      <c r="F421" s="208"/>
      <c r="G421" s="208"/>
      <c r="H421" s="209"/>
      <c r="I421" s="210"/>
      <c r="J421" s="210"/>
      <c r="K421" s="260"/>
      <c r="L421" s="260"/>
      <c r="M421" s="260"/>
      <c r="N421" s="260"/>
      <c r="O421" s="260"/>
      <c r="P421" s="211"/>
      <c r="Q421" s="261"/>
      <c r="R421" s="208" t="str">
        <f ca="1">IF(ISERROR($V421),"",OFFSET('Smelter Look-up'!$C$4,$V421-4,0)&amp;"")</f>
        <v/>
      </c>
      <c r="S421" s="215" t="str">
        <f t="shared" ca="1" si="57"/>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si="58"/>
        <v>0</v>
      </c>
      <c r="Y421" s="263"/>
      <c r="Z421" s="263"/>
      <c r="AB421" s="265" t="str">
        <f t="shared" si="59"/>
        <v/>
      </c>
    </row>
    <row r="422" spans="1:28" s="264" customFormat="1" ht="20.399999999999999">
      <c r="A422" s="207"/>
      <c r="B422" s="208"/>
      <c r="C422" s="212"/>
      <c r="D422" s="270"/>
      <c r="E422" s="208"/>
      <c r="F422" s="208"/>
      <c r="G422" s="208"/>
      <c r="H422" s="209"/>
      <c r="I422" s="210"/>
      <c r="J422" s="210"/>
      <c r="K422" s="260"/>
      <c r="L422" s="260"/>
      <c r="M422" s="260"/>
      <c r="N422" s="260"/>
      <c r="O422" s="260"/>
      <c r="P422" s="211"/>
      <c r="Q422" s="261"/>
      <c r="R422" s="208" t="str">
        <f ca="1">IF(ISERROR($V422),"",OFFSET('Smelter Look-up'!$C$4,$V422-4,0)&amp;"")</f>
        <v/>
      </c>
      <c r="S422" s="215" t="str">
        <f t="shared" ref="S422:S452" ca="1" si="60">IF(B422="","",IF(ISERROR(MATCH($E422,CL,0)),"Unknown",INDIRECT("'C'!$A$"&amp;MATCH($E422,CL,0)+1)))</f>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ref="X422:X452" si="61">IF(AND(C422="Smelter not listed",OR(LEN(D422)=0,LEN(E422)=0)),1,0)</f>
        <v>0</v>
      </c>
      <c r="Y422" s="263"/>
      <c r="Z422" s="263"/>
      <c r="AB422" s="265" t="str">
        <f t="shared" ref="AB422:AB452" si="62">B422&amp;C422</f>
        <v/>
      </c>
    </row>
    <row r="423" spans="1:28" s="264" customFormat="1" ht="20.399999999999999">
      <c r="A423" s="207"/>
      <c r="B423" s="208"/>
      <c r="C423" s="212"/>
      <c r="D423" s="270"/>
      <c r="E423" s="208"/>
      <c r="F423" s="208"/>
      <c r="G423" s="208"/>
      <c r="H423" s="209"/>
      <c r="I423" s="210"/>
      <c r="J423" s="210"/>
      <c r="K423" s="260"/>
      <c r="L423" s="260"/>
      <c r="M423" s="260"/>
      <c r="N423" s="260"/>
      <c r="O423" s="260"/>
      <c r="P423" s="211"/>
      <c r="Q423" s="261"/>
      <c r="R423" s="208" t="str">
        <f ca="1">IF(ISERROR($V423),"",OFFSET('Smelter Look-up'!$C$4,$V423-4,0)&amp;"")</f>
        <v/>
      </c>
      <c r="S423" s="215" t="str">
        <f t="shared" ca="1" si="60"/>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si="61"/>
        <v>0</v>
      </c>
      <c r="Y423" s="263"/>
      <c r="Z423" s="263"/>
      <c r="AB423" s="265" t="str">
        <f t="shared" si="62"/>
        <v/>
      </c>
    </row>
    <row r="424" spans="1:28" s="264" customFormat="1" ht="20.399999999999999">
      <c r="A424" s="207"/>
      <c r="B424" s="208"/>
      <c r="C424" s="212"/>
      <c r="D424" s="270"/>
      <c r="E424" s="208"/>
      <c r="F424" s="208"/>
      <c r="G424" s="208"/>
      <c r="H424" s="209"/>
      <c r="I424" s="210"/>
      <c r="J424" s="210"/>
      <c r="K424" s="260"/>
      <c r="L424" s="260"/>
      <c r="M424" s="260"/>
      <c r="N424" s="260"/>
      <c r="O424" s="260"/>
      <c r="P424" s="211"/>
      <c r="Q424" s="261"/>
      <c r="R424" s="208" t="str">
        <f ca="1">IF(ISERROR($V424),"",OFFSET('Smelter Look-up'!$C$4,$V424-4,0)&amp;"")</f>
        <v/>
      </c>
      <c r="S424" s="215" t="str">
        <f t="shared" ca="1" si="60"/>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si="61"/>
        <v>0</v>
      </c>
      <c r="Y424" s="263"/>
      <c r="Z424" s="263"/>
      <c r="AB424" s="265" t="str">
        <f t="shared" si="62"/>
        <v/>
      </c>
    </row>
    <row r="425" spans="1:28" s="264" customFormat="1" ht="20.399999999999999">
      <c r="A425" s="207"/>
      <c r="B425" s="208"/>
      <c r="C425" s="212"/>
      <c r="D425" s="270"/>
      <c r="E425" s="208"/>
      <c r="F425" s="208"/>
      <c r="G425" s="208"/>
      <c r="H425" s="209"/>
      <c r="I425" s="210"/>
      <c r="J425" s="210"/>
      <c r="K425" s="260"/>
      <c r="L425" s="260"/>
      <c r="M425" s="260"/>
      <c r="N425" s="260"/>
      <c r="O425" s="260"/>
      <c r="P425" s="211"/>
      <c r="Q425" s="261"/>
      <c r="R425" s="208" t="str">
        <f ca="1">IF(ISERROR($V425),"",OFFSET('Smelter Look-up'!$C$4,$V425-4,0)&amp;"")</f>
        <v/>
      </c>
      <c r="S425" s="215" t="str">
        <f t="shared" ca="1" si="60"/>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si="61"/>
        <v>0</v>
      </c>
      <c r="Y425" s="263"/>
      <c r="Z425" s="263"/>
      <c r="AB425" s="265" t="str">
        <f t="shared" si="62"/>
        <v/>
      </c>
    </row>
    <row r="426" spans="1:28" s="264" customFormat="1" ht="20.399999999999999">
      <c r="A426" s="207"/>
      <c r="B426" s="208"/>
      <c r="C426" s="212"/>
      <c r="D426" s="270"/>
      <c r="E426" s="208"/>
      <c r="F426" s="208"/>
      <c r="G426" s="208"/>
      <c r="H426" s="209"/>
      <c r="I426" s="210"/>
      <c r="J426" s="210"/>
      <c r="K426" s="260"/>
      <c r="L426" s="260"/>
      <c r="M426" s="260"/>
      <c r="N426" s="260"/>
      <c r="O426" s="260"/>
      <c r="P426" s="211"/>
      <c r="Q426" s="261"/>
      <c r="R426" s="208" t="str">
        <f ca="1">IF(ISERROR($V426),"",OFFSET('Smelter Look-up'!$C$4,$V426-4,0)&amp;"")</f>
        <v/>
      </c>
      <c r="S426" s="215" t="str">
        <f t="shared" ca="1" si="60"/>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si="61"/>
        <v>0</v>
      </c>
      <c r="Y426" s="263"/>
      <c r="Z426" s="263"/>
      <c r="AB426" s="265" t="str">
        <f t="shared" si="62"/>
        <v/>
      </c>
    </row>
    <row r="427" spans="1:28" s="264" customFormat="1" ht="20.399999999999999">
      <c r="A427" s="207"/>
      <c r="B427" s="208"/>
      <c r="C427" s="212"/>
      <c r="D427" s="270"/>
      <c r="E427" s="208"/>
      <c r="F427" s="208"/>
      <c r="G427" s="208"/>
      <c r="H427" s="209"/>
      <c r="I427" s="210"/>
      <c r="J427" s="210"/>
      <c r="K427" s="260"/>
      <c r="L427" s="260"/>
      <c r="M427" s="260"/>
      <c r="N427" s="260"/>
      <c r="O427" s="260"/>
      <c r="P427" s="211"/>
      <c r="Q427" s="261"/>
      <c r="R427" s="208" t="str">
        <f ca="1">IF(ISERROR($V427),"",OFFSET('Smelter Look-up'!$C$4,$V427-4,0)&amp;"")</f>
        <v/>
      </c>
      <c r="S427" s="215" t="str">
        <f t="shared" ca="1" si="60"/>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si="61"/>
        <v>0</v>
      </c>
      <c r="Y427" s="263"/>
      <c r="Z427" s="263"/>
      <c r="AB427" s="265" t="str">
        <f t="shared" si="62"/>
        <v/>
      </c>
    </row>
    <row r="428" spans="1:28" s="264" customFormat="1" ht="20.399999999999999">
      <c r="A428" s="207"/>
      <c r="B428" s="208"/>
      <c r="C428" s="212"/>
      <c r="D428" s="270"/>
      <c r="E428" s="208"/>
      <c r="F428" s="208"/>
      <c r="G428" s="208"/>
      <c r="H428" s="209"/>
      <c r="I428" s="210"/>
      <c r="J428" s="210"/>
      <c r="K428" s="260"/>
      <c r="L428" s="260"/>
      <c r="M428" s="260"/>
      <c r="N428" s="260"/>
      <c r="O428" s="260"/>
      <c r="P428" s="211"/>
      <c r="Q428" s="261"/>
      <c r="R428" s="208" t="str">
        <f ca="1">IF(ISERROR($V428),"",OFFSET('Smelter Look-up'!$C$4,$V428-4,0)&amp;"")</f>
        <v/>
      </c>
      <c r="S428" s="215" t="str">
        <f t="shared" ca="1" si="60"/>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si="61"/>
        <v>0</v>
      </c>
      <c r="Y428" s="263"/>
      <c r="Z428" s="263"/>
      <c r="AB428" s="265" t="str">
        <f t="shared" si="62"/>
        <v/>
      </c>
    </row>
    <row r="429" spans="1:28" s="264" customFormat="1" ht="20.399999999999999">
      <c r="A429" s="207"/>
      <c r="B429" s="208"/>
      <c r="C429" s="212"/>
      <c r="D429" s="270"/>
      <c r="E429" s="208"/>
      <c r="F429" s="208"/>
      <c r="G429" s="208"/>
      <c r="H429" s="209"/>
      <c r="I429" s="210"/>
      <c r="J429" s="210"/>
      <c r="K429" s="260"/>
      <c r="L429" s="260"/>
      <c r="M429" s="260"/>
      <c r="N429" s="260"/>
      <c r="O429" s="260"/>
      <c r="P429" s="211"/>
      <c r="Q429" s="261"/>
      <c r="R429" s="208" t="str">
        <f ca="1">IF(ISERROR($V429),"",OFFSET('Smelter Look-up'!$C$4,$V429-4,0)&amp;"")</f>
        <v/>
      </c>
      <c r="S429" s="215" t="str">
        <f t="shared" ca="1" si="60"/>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si="61"/>
        <v>0</v>
      </c>
      <c r="Y429" s="263"/>
      <c r="Z429" s="263"/>
      <c r="AB429" s="265" t="str">
        <f t="shared" si="62"/>
        <v/>
      </c>
    </row>
    <row r="430" spans="1:28" s="264" customFormat="1" ht="20.399999999999999">
      <c r="A430" s="207"/>
      <c r="B430" s="208"/>
      <c r="C430" s="212"/>
      <c r="D430" s="270"/>
      <c r="E430" s="208"/>
      <c r="F430" s="208"/>
      <c r="G430" s="208"/>
      <c r="H430" s="209"/>
      <c r="I430" s="210"/>
      <c r="J430" s="210"/>
      <c r="K430" s="260"/>
      <c r="L430" s="260"/>
      <c r="M430" s="260"/>
      <c r="N430" s="260"/>
      <c r="O430" s="260"/>
      <c r="P430" s="211"/>
      <c r="Q430" s="261"/>
      <c r="R430" s="208" t="str">
        <f ca="1">IF(ISERROR($V430),"",OFFSET('Smelter Look-up'!$C$4,$V430-4,0)&amp;"")</f>
        <v/>
      </c>
      <c r="S430" s="215" t="str">
        <f t="shared" ca="1" si="60"/>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si="61"/>
        <v>0</v>
      </c>
      <c r="Y430" s="263"/>
      <c r="Z430" s="263"/>
      <c r="AB430" s="265" t="str">
        <f t="shared" si="62"/>
        <v/>
      </c>
    </row>
    <row r="431" spans="1:28" s="264" customFormat="1" ht="20.399999999999999">
      <c r="A431" s="207"/>
      <c r="B431" s="208"/>
      <c r="C431" s="212"/>
      <c r="D431" s="270"/>
      <c r="E431" s="208"/>
      <c r="F431" s="208"/>
      <c r="G431" s="208"/>
      <c r="H431" s="209"/>
      <c r="I431" s="210"/>
      <c r="J431" s="210"/>
      <c r="K431" s="260"/>
      <c r="L431" s="260"/>
      <c r="M431" s="260"/>
      <c r="N431" s="260"/>
      <c r="O431" s="260"/>
      <c r="P431" s="211"/>
      <c r="Q431" s="261"/>
      <c r="R431" s="208" t="str">
        <f ca="1">IF(ISERROR($V431),"",OFFSET('Smelter Look-up'!$C$4,$V431-4,0)&amp;"")</f>
        <v/>
      </c>
      <c r="S431" s="215" t="str">
        <f t="shared" ca="1" si="60"/>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si="61"/>
        <v>0</v>
      </c>
      <c r="Y431" s="263"/>
      <c r="Z431" s="263"/>
      <c r="AB431" s="265" t="str">
        <f t="shared" si="62"/>
        <v/>
      </c>
    </row>
    <row r="432" spans="1:28" s="264" customFormat="1" ht="20.399999999999999">
      <c r="A432" s="207"/>
      <c r="B432" s="208"/>
      <c r="C432" s="212"/>
      <c r="D432" s="270"/>
      <c r="E432" s="208"/>
      <c r="F432" s="208"/>
      <c r="G432" s="208"/>
      <c r="H432" s="209"/>
      <c r="I432" s="210"/>
      <c r="J432" s="210"/>
      <c r="K432" s="260"/>
      <c r="L432" s="260"/>
      <c r="M432" s="260"/>
      <c r="N432" s="260"/>
      <c r="O432" s="260"/>
      <c r="P432" s="211"/>
      <c r="Q432" s="261"/>
      <c r="R432" s="208" t="str">
        <f ca="1">IF(ISERROR($V432),"",OFFSET('Smelter Look-up'!$C$4,$V432-4,0)&amp;"")</f>
        <v/>
      </c>
      <c r="S432" s="215" t="str">
        <f t="shared" ca="1" si="60"/>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si="61"/>
        <v>0</v>
      </c>
      <c r="Y432" s="263"/>
      <c r="Z432" s="263"/>
      <c r="AB432" s="265" t="str">
        <f t="shared" si="62"/>
        <v/>
      </c>
    </row>
    <row r="433" spans="1:28" s="264" customFormat="1" ht="20.399999999999999">
      <c r="A433" s="207"/>
      <c r="B433" s="208"/>
      <c r="C433" s="212"/>
      <c r="D433" s="270"/>
      <c r="E433" s="208"/>
      <c r="F433" s="208"/>
      <c r="G433" s="208"/>
      <c r="H433" s="209"/>
      <c r="I433" s="210"/>
      <c r="J433" s="210"/>
      <c r="K433" s="260"/>
      <c r="L433" s="260"/>
      <c r="M433" s="260"/>
      <c r="N433" s="260"/>
      <c r="O433" s="260"/>
      <c r="P433" s="211"/>
      <c r="Q433" s="261"/>
      <c r="R433" s="208" t="str">
        <f ca="1">IF(ISERROR($V433),"",OFFSET('Smelter Look-up'!$C$4,$V433-4,0)&amp;"")</f>
        <v/>
      </c>
      <c r="S433" s="215" t="str">
        <f t="shared" ca="1" si="60"/>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si="61"/>
        <v>0</v>
      </c>
      <c r="Y433" s="263"/>
      <c r="Z433" s="263"/>
      <c r="AB433" s="265" t="str">
        <f t="shared" si="62"/>
        <v/>
      </c>
    </row>
    <row r="434" spans="1:28" s="264" customFormat="1" ht="20.399999999999999">
      <c r="A434" s="207"/>
      <c r="B434" s="208"/>
      <c r="C434" s="212"/>
      <c r="D434" s="270"/>
      <c r="E434" s="208"/>
      <c r="F434" s="208"/>
      <c r="G434" s="208"/>
      <c r="H434" s="209"/>
      <c r="I434" s="210"/>
      <c r="J434" s="210"/>
      <c r="K434" s="260"/>
      <c r="L434" s="260"/>
      <c r="M434" s="260"/>
      <c r="N434" s="260"/>
      <c r="O434" s="260"/>
      <c r="P434" s="211"/>
      <c r="Q434" s="261"/>
      <c r="R434" s="208" t="str">
        <f ca="1">IF(ISERROR($V434),"",OFFSET('Smelter Look-up'!$C$4,$V434-4,0)&amp;"")</f>
        <v/>
      </c>
      <c r="S434" s="215" t="str">
        <f t="shared" ca="1" si="60"/>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si="61"/>
        <v>0</v>
      </c>
      <c r="Y434" s="263"/>
      <c r="Z434" s="263"/>
      <c r="AB434" s="265" t="str">
        <f t="shared" si="62"/>
        <v/>
      </c>
    </row>
    <row r="435" spans="1:28" s="264" customFormat="1" ht="20.399999999999999">
      <c r="A435" s="207"/>
      <c r="B435" s="208"/>
      <c r="C435" s="212"/>
      <c r="D435" s="270"/>
      <c r="E435" s="208"/>
      <c r="F435" s="208"/>
      <c r="G435" s="208"/>
      <c r="H435" s="209"/>
      <c r="I435" s="210"/>
      <c r="J435" s="210"/>
      <c r="K435" s="260"/>
      <c r="L435" s="260"/>
      <c r="M435" s="260"/>
      <c r="N435" s="260"/>
      <c r="O435" s="260"/>
      <c r="P435" s="211"/>
      <c r="Q435" s="261"/>
      <c r="R435" s="208" t="str">
        <f ca="1">IF(ISERROR($V435),"",OFFSET('Smelter Look-up'!$C$4,$V435-4,0)&amp;"")</f>
        <v/>
      </c>
      <c r="S435" s="215" t="str">
        <f t="shared" ca="1" si="60"/>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si="61"/>
        <v>0</v>
      </c>
      <c r="Y435" s="263"/>
      <c r="Z435" s="263"/>
      <c r="AB435" s="265" t="str">
        <f t="shared" si="62"/>
        <v/>
      </c>
    </row>
    <row r="436" spans="1:28" s="264" customFormat="1" ht="20.399999999999999">
      <c r="A436" s="207"/>
      <c r="B436" s="208"/>
      <c r="C436" s="212"/>
      <c r="D436" s="270"/>
      <c r="E436" s="208"/>
      <c r="F436" s="208"/>
      <c r="G436" s="208"/>
      <c r="H436" s="209"/>
      <c r="I436" s="210"/>
      <c r="J436" s="210"/>
      <c r="K436" s="260"/>
      <c r="L436" s="260"/>
      <c r="M436" s="260"/>
      <c r="N436" s="260"/>
      <c r="O436" s="260"/>
      <c r="P436" s="211"/>
      <c r="Q436" s="261"/>
      <c r="R436" s="208" t="str">
        <f ca="1">IF(ISERROR($V436),"",OFFSET('Smelter Look-up'!$C$4,$V436-4,0)&amp;"")</f>
        <v/>
      </c>
      <c r="S436" s="215" t="str">
        <f t="shared" ca="1" si="60"/>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si="61"/>
        <v>0</v>
      </c>
      <c r="Y436" s="263"/>
      <c r="Z436" s="263"/>
      <c r="AB436" s="265" t="str">
        <f t="shared" si="62"/>
        <v/>
      </c>
    </row>
    <row r="437" spans="1:28" s="264" customFormat="1" ht="20.399999999999999">
      <c r="A437" s="207"/>
      <c r="B437" s="208"/>
      <c r="C437" s="212"/>
      <c r="D437" s="270"/>
      <c r="E437" s="208"/>
      <c r="F437" s="208"/>
      <c r="G437" s="208"/>
      <c r="H437" s="209"/>
      <c r="I437" s="210"/>
      <c r="J437" s="210"/>
      <c r="K437" s="260"/>
      <c r="L437" s="260"/>
      <c r="M437" s="260"/>
      <c r="N437" s="260"/>
      <c r="O437" s="260"/>
      <c r="P437" s="211"/>
      <c r="Q437" s="261"/>
      <c r="R437" s="208" t="str">
        <f ca="1">IF(ISERROR($V437),"",OFFSET('Smelter Look-up'!$C$4,$V437-4,0)&amp;"")</f>
        <v/>
      </c>
      <c r="S437" s="215" t="str">
        <f t="shared" ca="1" si="60"/>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si="61"/>
        <v>0</v>
      </c>
      <c r="Y437" s="263"/>
      <c r="Z437" s="263"/>
      <c r="AB437" s="265" t="str">
        <f t="shared" si="62"/>
        <v/>
      </c>
    </row>
    <row r="438" spans="1:28" s="264" customFormat="1" ht="20.399999999999999">
      <c r="A438" s="207"/>
      <c r="B438" s="208"/>
      <c r="C438" s="212"/>
      <c r="D438" s="270"/>
      <c r="E438" s="208"/>
      <c r="F438" s="208"/>
      <c r="G438" s="208"/>
      <c r="H438" s="209"/>
      <c r="I438" s="210"/>
      <c r="J438" s="210"/>
      <c r="K438" s="260"/>
      <c r="L438" s="260"/>
      <c r="M438" s="260"/>
      <c r="N438" s="260"/>
      <c r="O438" s="260"/>
      <c r="P438" s="211"/>
      <c r="Q438" s="261"/>
      <c r="R438" s="208" t="str">
        <f ca="1">IF(ISERROR($V438),"",OFFSET('Smelter Look-up'!$C$4,$V438-4,0)&amp;"")</f>
        <v/>
      </c>
      <c r="S438" s="215" t="str">
        <f t="shared" ca="1" si="60"/>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si="61"/>
        <v>0</v>
      </c>
      <c r="Y438" s="263"/>
      <c r="Z438" s="263"/>
      <c r="AB438" s="265" t="str">
        <f t="shared" si="62"/>
        <v/>
      </c>
    </row>
    <row r="439" spans="1:28" s="264" customFormat="1" ht="20.399999999999999">
      <c r="A439" s="207"/>
      <c r="B439" s="208"/>
      <c r="C439" s="212"/>
      <c r="D439" s="270"/>
      <c r="E439" s="208"/>
      <c r="F439" s="208"/>
      <c r="G439" s="208"/>
      <c r="H439" s="209"/>
      <c r="I439" s="210"/>
      <c r="J439" s="210"/>
      <c r="K439" s="260"/>
      <c r="L439" s="260"/>
      <c r="M439" s="260"/>
      <c r="N439" s="260"/>
      <c r="O439" s="260"/>
      <c r="P439" s="211"/>
      <c r="Q439" s="261"/>
      <c r="R439" s="208" t="str">
        <f ca="1">IF(ISERROR($V439),"",OFFSET('Smelter Look-up'!$C$4,$V439-4,0)&amp;"")</f>
        <v/>
      </c>
      <c r="S439" s="215" t="str">
        <f t="shared" ca="1" si="60"/>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si="61"/>
        <v>0</v>
      </c>
      <c r="Y439" s="263"/>
      <c r="Z439" s="263"/>
      <c r="AB439" s="265" t="str">
        <f t="shared" si="62"/>
        <v/>
      </c>
    </row>
    <row r="440" spans="1:28" s="264" customFormat="1" ht="20.399999999999999">
      <c r="A440" s="207"/>
      <c r="B440" s="208"/>
      <c r="C440" s="212"/>
      <c r="D440" s="270"/>
      <c r="E440" s="208"/>
      <c r="F440" s="208"/>
      <c r="G440" s="208"/>
      <c r="H440" s="209"/>
      <c r="I440" s="210"/>
      <c r="J440" s="210"/>
      <c r="K440" s="260"/>
      <c r="L440" s="260"/>
      <c r="M440" s="260"/>
      <c r="N440" s="260"/>
      <c r="O440" s="260"/>
      <c r="P440" s="211"/>
      <c r="Q440" s="261"/>
      <c r="R440" s="208" t="str">
        <f ca="1">IF(ISERROR($V440),"",OFFSET('Smelter Look-up'!$C$4,$V440-4,0)&amp;"")</f>
        <v/>
      </c>
      <c r="S440" s="215" t="str">
        <f t="shared" ca="1" si="60"/>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si="61"/>
        <v>0</v>
      </c>
      <c r="Y440" s="263"/>
      <c r="Z440" s="263"/>
      <c r="AB440" s="265" t="str">
        <f t="shared" si="62"/>
        <v/>
      </c>
    </row>
    <row r="441" spans="1:28" s="264" customFormat="1" ht="20.399999999999999">
      <c r="A441" s="207"/>
      <c r="B441" s="208"/>
      <c r="C441" s="212"/>
      <c r="D441" s="270"/>
      <c r="E441" s="208"/>
      <c r="F441" s="208"/>
      <c r="G441" s="208"/>
      <c r="H441" s="209"/>
      <c r="I441" s="210"/>
      <c r="J441" s="210"/>
      <c r="K441" s="260"/>
      <c r="L441" s="260"/>
      <c r="M441" s="260"/>
      <c r="N441" s="260"/>
      <c r="O441" s="260"/>
      <c r="P441" s="211"/>
      <c r="Q441" s="261"/>
      <c r="R441" s="208" t="str">
        <f ca="1">IF(ISERROR($V441),"",OFFSET('Smelter Look-up'!$C$4,$V441-4,0)&amp;"")</f>
        <v/>
      </c>
      <c r="S441" s="215" t="str">
        <f t="shared" ca="1" si="60"/>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si="61"/>
        <v>0</v>
      </c>
      <c r="Y441" s="263"/>
      <c r="Z441" s="263"/>
      <c r="AB441" s="265" t="str">
        <f t="shared" si="62"/>
        <v/>
      </c>
    </row>
    <row r="442" spans="1:28" s="264" customFormat="1" ht="20.399999999999999">
      <c r="A442" s="207"/>
      <c r="B442" s="208"/>
      <c r="C442" s="212"/>
      <c r="D442" s="270"/>
      <c r="E442" s="208"/>
      <c r="F442" s="208"/>
      <c r="G442" s="208"/>
      <c r="H442" s="209"/>
      <c r="I442" s="210"/>
      <c r="J442" s="210"/>
      <c r="K442" s="260"/>
      <c r="L442" s="260"/>
      <c r="M442" s="260"/>
      <c r="N442" s="260"/>
      <c r="O442" s="260"/>
      <c r="P442" s="211"/>
      <c r="Q442" s="261"/>
      <c r="R442" s="208" t="str">
        <f ca="1">IF(ISERROR($V442),"",OFFSET('Smelter Look-up'!$C$4,$V442-4,0)&amp;"")</f>
        <v/>
      </c>
      <c r="S442" s="215" t="str">
        <f t="shared" ca="1" si="60"/>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si="61"/>
        <v>0</v>
      </c>
      <c r="Y442" s="263"/>
      <c r="Z442" s="263"/>
      <c r="AB442" s="265" t="str">
        <f t="shared" si="62"/>
        <v/>
      </c>
    </row>
    <row r="443" spans="1:28" s="264" customFormat="1" ht="20.399999999999999">
      <c r="A443" s="207"/>
      <c r="B443" s="208"/>
      <c r="C443" s="212"/>
      <c r="D443" s="270"/>
      <c r="E443" s="208"/>
      <c r="F443" s="208"/>
      <c r="G443" s="208"/>
      <c r="H443" s="209"/>
      <c r="I443" s="210"/>
      <c r="J443" s="210"/>
      <c r="K443" s="260"/>
      <c r="L443" s="260"/>
      <c r="M443" s="260"/>
      <c r="N443" s="260"/>
      <c r="O443" s="260"/>
      <c r="P443" s="211"/>
      <c r="Q443" s="261"/>
      <c r="R443" s="208" t="str">
        <f ca="1">IF(ISERROR($V443),"",OFFSET('Smelter Look-up'!$C$4,$V443-4,0)&amp;"")</f>
        <v/>
      </c>
      <c r="S443" s="215" t="str">
        <f t="shared" ca="1" si="60"/>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si="61"/>
        <v>0</v>
      </c>
      <c r="Y443" s="263"/>
      <c r="Z443" s="263"/>
      <c r="AB443" s="265" t="str">
        <f t="shared" si="62"/>
        <v/>
      </c>
    </row>
    <row r="444" spans="1:28" s="264" customFormat="1" ht="20.399999999999999">
      <c r="A444" s="207"/>
      <c r="B444" s="208"/>
      <c r="C444" s="212"/>
      <c r="D444" s="270"/>
      <c r="E444" s="208"/>
      <c r="F444" s="208"/>
      <c r="G444" s="208"/>
      <c r="H444" s="209"/>
      <c r="I444" s="210"/>
      <c r="J444" s="210"/>
      <c r="K444" s="260"/>
      <c r="L444" s="260"/>
      <c r="M444" s="260"/>
      <c r="N444" s="260"/>
      <c r="O444" s="260"/>
      <c r="P444" s="211"/>
      <c r="Q444" s="261"/>
      <c r="R444" s="208" t="str">
        <f ca="1">IF(ISERROR($V444),"",OFFSET('Smelter Look-up'!$C$4,$V444-4,0)&amp;"")</f>
        <v/>
      </c>
      <c r="S444" s="215" t="str">
        <f t="shared" ca="1" si="60"/>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si="61"/>
        <v>0</v>
      </c>
      <c r="Y444" s="263"/>
      <c r="Z444" s="263"/>
      <c r="AB444" s="265" t="str">
        <f t="shared" si="62"/>
        <v/>
      </c>
    </row>
    <row r="445" spans="1:28" s="264" customFormat="1" ht="20.399999999999999">
      <c r="A445" s="207"/>
      <c r="B445" s="208"/>
      <c r="C445" s="212"/>
      <c r="D445" s="270"/>
      <c r="E445" s="208"/>
      <c r="F445" s="208"/>
      <c r="G445" s="208"/>
      <c r="H445" s="209"/>
      <c r="I445" s="210"/>
      <c r="J445" s="210"/>
      <c r="K445" s="260"/>
      <c r="L445" s="260"/>
      <c r="M445" s="260"/>
      <c r="N445" s="260"/>
      <c r="O445" s="260"/>
      <c r="P445" s="211"/>
      <c r="Q445" s="261"/>
      <c r="R445" s="208" t="str">
        <f ca="1">IF(ISERROR($V445),"",OFFSET('Smelter Look-up'!$C$4,$V445-4,0)&amp;"")</f>
        <v/>
      </c>
      <c r="S445" s="215" t="str">
        <f t="shared" ca="1" si="60"/>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si="61"/>
        <v>0</v>
      </c>
      <c r="Y445" s="263"/>
      <c r="Z445" s="263"/>
      <c r="AB445" s="265" t="str">
        <f t="shared" si="62"/>
        <v/>
      </c>
    </row>
    <row r="446" spans="1:28" s="264" customFormat="1" ht="20.399999999999999">
      <c r="A446" s="207"/>
      <c r="B446" s="208"/>
      <c r="C446" s="212"/>
      <c r="D446" s="270"/>
      <c r="E446" s="208"/>
      <c r="F446" s="208"/>
      <c r="G446" s="208"/>
      <c r="H446" s="209"/>
      <c r="I446" s="210"/>
      <c r="J446" s="210"/>
      <c r="K446" s="260"/>
      <c r="L446" s="260"/>
      <c r="M446" s="260"/>
      <c r="N446" s="260"/>
      <c r="O446" s="260"/>
      <c r="P446" s="211"/>
      <c r="Q446" s="261"/>
      <c r="R446" s="208" t="str">
        <f ca="1">IF(ISERROR($V446),"",OFFSET('Smelter Look-up'!$C$4,$V446-4,0)&amp;"")</f>
        <v/>
      </c>
      <c r="S446" s="215" t="str">
        <f t="shared" ca="1" si="60"/>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si="61"/>
        <v>0</v>
      </c>
      <c r="Y446" s="263"/>
      <c r="Z446" s="263"/>
      <c r="AB446" s="265" t="str">
        <f t="shared" si="62"/>
        <v/>
      </c>
    </row>
    <row r="447" spans="1:28" s="264" customFormat="1" ht="20.399999999999999">
      <c r="A447" s="207"/>
      <c r="B447" s="208"/>
      <c r="C447" s="212"/>
      <c r="D447" s="270"/>
      <c r="E447" s="208"/>
      <c r="F447" s="208"/>
      <c r="G447" s="208"/>
      <c r="H447" s="209"/>
      <c r="I447" s="210"/>
      <c r="J447" s="210"/>
      <c r="K447" s="260"/>
      <c r="L447" s="260"/>
      <c r="M447" s="260"/>
      <c r="N447" s="260"/>
      <c r="O447" s="260"/>
      <c r="P447" s="211"/>
      <c r="Q447" s="261"/>
      <c r="R447" s="208" t="str">
        <f ca="1">IF(ISERROR($V447),"",OFFSET('Smelter Look-up'!$C$4,$V447-4,0)&amp;"")</f>
        <v/>
      </c>
      <c r="S447" s="215" t="str">
        <f t="shared" ca="1" si="60"/>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si="61"/>
        <v>0</v>
      </c>
      <c r="Y447" s="263"/>
      <c r="Z447" s="263"/>
      <c r="AB447" s="265" t="str">
        <f t="shared" si="62"/>
        <v/>
      </c>
    </row>
    <row r="448" spans="1:28" s="264" customFormat="1" ht="20.399999999999999">
      <c r="A448" s="207"/>
      <c r="B448" s="208"/>
      <c r="C448" s="212"/>
      <c r="D448" s="270"/>
      <c r="E448" s="208"/>
      <c r="F448" s="208"/>
      <c r="G448" s="208"/>
      <c r="H448" s="209"/>
      <c r="I448" s="210"/>
      <c r="J448" s="210"/>
      <c r="K448" s="260"/>
      <c r="L448" s="260"/>
      <c r="M448" s="260"/>
      <c r="N448" s="260"/>
      <c r="O448" s="260"/>
      <c r="P448" s="211"/>
      <c r="Q448" s="261"/>
      <c r="R448" s="208" t="str">
        <f ca="1">IF(ISERROR($V448),"",OFFSET('Smelter Look-up'!$C$4,$V448-4,0)&amp;"")</f>
        <v/>
      </c>
      <c r="S448" s="215" t="str">
        <f t="shared" ca="1" si="60"/>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si="61"/>
        <v>0</v>
      </c>
      <c r="Y448" s="263"/>
      <c r="Z448" s="263"/>
      <c r="AB448" s="265" t="str">
        <f t="shared" si="62"/>
        <v/>
      </c>
    </row>
    <row r="449" spans="1:28" s="264" customFormat="1" ht="20.399999999999999">
      <c r="A449" s="207"/>
      <c r="B449" s="208"/>
      <c r="C449" s="212"/>
      <c r="D449" s="270"/>
      <c r="E449" s="208"/>
      <c r="F449" s="208"/>
      <c r="G449" s="208"/>
      <c r="H449" s="209"/>
      <c r="I449" s="210"/>
      <c r="J449" s="210"/>
      <c r="K449" s="260"/>
      <c r="L449" s="260"/>
      <c r="M449" s="260"/>
      <c r="N449" s="260"/>
      <c r="O449" s="260"/>
      <c r="P449" s="211"/>
      <c r="Q449" s="261"/>
      <c r="R449" s="208" t="str">
        <f ca="1">IF(ISERROR($V449),"",OFFSET('Smelter Look-up'!$C$4,$V449-4,0)&amp;"")</f>
        <v/>
      </c>
      <c r="S449" s="215" t="str">
        <f t="shared" ca="1" si="60"/>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si="61"/>
        <v>0</v>
      </c>
      <c r="Y449" s="263"/>
      <c r="Z449" s="263"/>
      <c r="AB449" s="265" t="str">
        <f t="shared" si="62"/>
        <v/>
      </c>
    </row>
    <row r="450" spans="1:28" s="264" customFormat="1" ht="20.399999999999999">
      <c r="A450" s="207"/>
      <c r="B450" s="208"/>
      <c r="C450" s="212"/>
      <c r="D450" s="270"/>
      <c r="E450" s="208"/>
      <c r="F450" s="208"/>
      <c r="G450" s="208"/>
      <c r="H450" s="209"/>
      <c r="I450" s="210"/>
      <c r="J450" s="210"/>
      <c r="K450" s="260"/>
      <c r="L450" s="260"/>
      <c r="M450" s="260"/>
      <c r="N450" s="260"/>
      <c r="O450" s="260"/>
      <c r="P450" s="211"/>
      <c r="Q450" s="261"/>
      <c r="R450" s="208" t="str">
        <f ca="1">IF(ISERROR($V450),"",OFFSET('Smelter Look-up'!$C$4,$V450-4,0)&amp;"")</f>
        <v/>
      </c>
      <c r="S450" s="215" t="str">
        <f t="shared" ca="1" si="60"/>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si="61"/>
        <v>0</v>
      </c>
      <c r="Y450" s="263"/>
      <c r="Z450" s="263"/>
      <c r="AB450" s="265" t="str">
        <f t="shared" si="62"/>
        <v/>
      </c>
    </row>
    <row r="451" spans="1:28" s="264" customFormat="1" ht="20.399999999999999">
      <c r="A451" s="207"/>
      <c r="B451" s="208"/>
      <c r="C451" s="212"/>
      <c r="D451" s="270"/>
      <c r="E451" s="208"/>
      <c r="F451" s="208"/>
      <c r="G451" s="208"/>
      <c r="H451" s="209"/>
      <c r="I451" s="210"/>
      <c r="J451" s="210"/>
      <c r="K451" s="260"/>
      <c r="L451" s="260"/>
      <c r="M451" s="260"/>
      <c r="N451" s="260"/>
      <c r="O451" s="260"/>
      <c r="P451" s="211"/>
      <c r="Q451" s="261"/>
      <c r="R451" s="208" t="str">
        <f ca="1">IF(ISERROR($V451),"",OFFSET('Smelter Look-up'!$C$4,$V451-4,0)&amp;"")</f>
        <v/>
      </c>
      <c r="S451" s="215" t="str">
        <f t="shared" ca="1" si="60"/>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si="61"/>
        <v>0</v>
      </c>
      <c r="Y451" s="263"/>
      <c r="Z451" s="263"/>
      <c r="AB451" s="265" t="str">
        <f t="shared" si="62"/>
        <v/>
      </c>
    </row>
    <row r="452" spans="1:28" s="264" customFormat="1" ht="20.399999999999999">
      <c r="A452" s="207"/>
      <c r="B452" s="208"/>
      <c r="C452" s="212"/>
      <c r="D452" s="270"/>
      <c r="E452" s="208"/>
      <c r="F452" s="208"/>
      <c r="G452" s="208"/>
      <c r="H452" s="209"/>
      <c r="I452" s="210"/>
      <c r="J452" s="210"/>
      <c r="K452" s="260"/>
      <c r="L452" s="260"/>
      <c r="M452" s="260"/>
      <c r="N452" s="260"/>
      <c r="O452" s="260"/>
      <c r="P452" s="211"/>
      <c r="Q452" s="261"/>
      <c r="R452" s="208" t="str">
        <f ca="1">IF(ISERROR($V452),"",OFFSET('Smelter Look-up'!$C$4,$V452-4,0)&amp;"")</f>
        <v/>
      </c>
      <c r="S452" s="215" t="str">
        <f t="shared" ca="1" si="60"/>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si="61"/>
        <v>0</v>
      </c>
      <c r="Y452" s="263"/>
      <c r="Z452" s="263"/>
      <c r="AB452" s="265" t="str">
        <f t="shared" si="62"/>
        <v/>
      </c>
    </row>
    <row r="453" spans="1:28" s="264" customFormat="1" ht="20.399999999999999">
      <c r="A453" s="207"/>
      <c r="B453" s="208"/>
      <c r="C453" s="212"/>
      <c r="D453" s="270"/>
      <c r="E453" s="208"/>
      <c r="F453" s="208"/>
      <c r="G453" s="208"/>
      <c r="H453" s="209"/>
      <c r="I453" s="210"/>
      <c r="J453" s="210"/>
      <c r="K453" s="260"/>
      <c r="L453" s="260"/>
      <c r="M453" s="260"/>
      <c r="N453" s="260"/>
      <c r="O453" s="260"/>
      <c r="P453" s="211"/>
      <c r="Q453" s="261"/>
      <c r="R453" s="208" t="str">
        <f ca="1">IF(ISERROR($V453),"",OFFSET('Smelter Look-up'!$C$4,$V453-4,0)&amp;"")</f>
        <v/>
      </c>
      <c r="S453" s="215" t="str">
        <f t="shared" ref="S453" ca="1" si="63">IF(B453="","",IF(ISERROR(MATCH($E453,CL,0)),"Unknown",INDIRECT("'C'!$A$"&amp;MATCH($E453,CL,0)+1)))</f>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t="shared" ref="X453" si="64">IF(AND(C453="Smelter not listed",OR(LEN(D453)=0,LEN(E453)=0)),1,0)</f>
        <v>0</v>
      </c>
      <c r="Y453" s="263"/>
      <c r="Z453" s="263"/>
      <c r="AB453" s="265" t="str">
        <f t="shared" ref="AB453" si="65">B453&amp;C453</f>
        <v/>
      </c>
    </row>
    <row r="454" spans="1:28" s="264" customFormat="1" ht="20.399999999999999">
      <c r="A454" s="207"/>
      <c r="B454" s="208"/>
      <c r="C454" s="212"/>
      <c r="D454" s="270"/>
      <c r="E454" s="208"/>
      <c r="F454" s="208"/>
      <c r="G454" s="208"/>
      <c r="H454" s="209"/>
      <c r="I454" s="210"/>
      <c r="J454" s="210"/>
      <c r="K454" s="260"/>
      <c r="L454" s="260"/>
      <c r="M454" s="260"/>
      <c r="N454" s="260"/>
      <c r="O454" s="260"/>
      <c r="P454" s="211"/>
      <c r="Q454" s="261"/>
      <c r="R454" s="208" t="str">
        <f ca="1">IF(ISERROR($V454),"",OFFSET('Smelter Look-up'!$C$4,$V454-4,0)&amp;"")</f>
        <v/>
      </c>
      <c r="S454" s="215" t="str">
        <f t="shared" ref="S454:S485" ca="1" si="66">IF(B454="","",IF(ISERROR(MATCH($E454,CL,0)),"Unknown",INDIRECT("'C'!$A$"&amp;MATCH($E454,CL,0)+1)))</f>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ref="X454:X485" si="67">IF(AND(C454="Smelter not listed",OR(LEN(D454)=0,LEN(E454)=0)),1,0)</f>
        <v>0</v>
      </c>
      <c r="Y454" s="263"/>
      <c r="Z454" s="263"/>
      <c r="AB454" s="265" t="str">
        <f t="shared" ref="AB454:AB485" si="68">B454&amp;C454</f>
        <v/>
      </c>
    </row>
    <row r="455" spans="1:28" s="264" customFormat="1" ht="20.399999999999999">
      <c r="A455" s="207"/>
      <c r="B455" s="208"/>
      <c r="C455" s="212"/>
      <c r="D455" s="270"/>
      <c r="E455" s="208"/>
      <c r="F455" s="208"/>
      <c r="G455" s="208"/>
      <c r="H455" s="209"/>
      <c r="I455" s="210"/>
      <c r="J455" s="210"/>
      <c r="K455" s="260"/>
      <c r="L455" s="260"/>
      <c r="M455" s="260"/>
      <c r="N455" s="260"/>
      <c r="O455" s="260"/>
      <c r="P455" s="211"/>
      <c r="Q455" s="261"/>
      <c r="R455" s="208" t="str">
        <f ca="1">IF(ISERROR($V455),"",OFFSET('Smelter Look-up'!$C$4,$V455-4,0)&amp;"")</f>
        <v/>
      </c>
      <c r="S455" s="215" t="str">
        <f t="shared" ca="1" si="66"/>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si="67"/>
        <v>0</v>
      </c>
      <c r="Y455" s="263"/>
      <c r="Z455" s="263"/>
      <c r="AB455" s="265" t="str">
        <f t="shared" si="68"/>
        <v/>
      </c>
    </row>
    <row r="456" spans="1:28" s="264" customFormat="1" ht="20.399999999999999">
      <c r="A456" s="207"/>
      <c r="B456" s="208"/>
      <c r="C456" s="212"/>
      <c r="D456" s="270"/>
      <c r="E456" s="208"/>
      <c r="F456" s="208"/>
      <c r="G456" s="208"/>
      <c r="H456" s="209"/>
      <c r="I456" s="210"/>
      <c r="J456" s="210"/>
      <c r="K456" s="260"/>
      <c r="L456" s="260"/>
      <c r="M456" s="260"/>
      <c r="N456" s="260"/>
      <c r="O456" s="260"/>
      <c r="P456" s="211"/>
      <c r="Q456" s="261"/>
      <c r="R456" s="208" t="str">
        <f ca="1">IF(ISERROR($V456),"",OFFSET('Smelter Look-up'!$C$4,$V456-4,0)&amp;"")</f>
        <v/>
      </c>
      <c r="S456" s="215" t="str">
        <f t="shared" ca="1" si="66"/>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si="67"/>
        <v>0</v>
      </c>
      <c r="Y456" s="263"/>
      <c r="Z456" s="263"/>
      <c r="AB456" s="265" t="str">
        <f t="shared" si="68"/>
        <v/>
      </c>
    </row>
    <row r="457" spans="1:28" s="264" customFormat="1" ht="20.399999999999999">
      <c r="A457" s="207"/>
      <c r="B457" s="208"/>
      <c r="C457" s="212"/>
      <c r="D457" s="270"/>
      <c r="E457" s="208"/>
      <c r="F457" s="208"/>
      <c r="G457" s="208"/>
      <c r="H457" s="209"/>
      <c r="I457" s="210"/>
      <c r="J457" s="210"/>
      <c r="K457" s="260"/>
      <c r="L457" s="260"/>
      <c r="M457" s="260"/>
      <c r="N457" s="260"/>
      <c r="O457" s="260"/>
      <c r="P457" s="211"/>
      <c r="Q457" s="261"/>
      <c r="R457" s="208" t="str">
        <f ca="1">IF(ISERROR($V457),"",OFFSET('Smelter Look-up'!$C$4,$V457-4,0)&amp;"")</f>
        <v/>
      </c>
      <c r="S457" s="215" t="str">
        <f t="shared" ca="1" si="66"/>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si="67"/>
        <v>0</v>
      </c>
      <c r="Y457" s="263"/>
      <c r="Z457" s="263"/>
      <c r="AB457" s="265" t="str">
        <f t="shared" si="68"/>
        <v/>
      </c>
    </row>
    <row r="458" spans="1:28" s="264" customFormat="1" ht="20.399999999999999">
      <c r="A458" s="207"/>
      <c r="B458" s="208"/>
      <c r="C458" s="212"/>
      <c r="D458" s="270"/>
      <c r="E458" s="208"/>
      <c r="F458" s="208"/>
      <c r="G458" s="208"/>
      <c r="H458" s="209"/>
      <c r="I458" s="210"/>
      <c r="J458" s="210"/>
      <c r="K458" s="260"/>
      <c r="L458" s="260"/>
      <c r="M458" s="260"/>
      <c r="N458" s="260"/>
      <c r="O458" s="260"/>
      <c r="P458" s="211"/>
      <c r="Q458" s="261"/>
      <c r="R458" s="208" t="str">
        <f ca="1">IF(ISERROR($V458),"",OFFSET('Smelter Look-up'!$C$4,$V458-4,0)&amp;"")</f>
        <v/>
      </c>
      <c r="S458" s="215" t="str">
        <f t="shared" ca="1" si="66"/>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si="67"/>
        <v>0</v>
      </c>
      <c r="Y458" s="263"/>
      <c r="Z458" s="263"/>
      <c r="AB458" s="265" t="str">
        <f t="shared" si="68"/>
        <v/>
      </c>
    </row>
    <row r="459" spans="1:28" s="264" customFormat="1" ht="20.399999999999999">
      <c r="A459" s="207"/>
      <c r="B459" s="208"/>
      <c r="C459" s="212"/>
      <c r="D459" s="270"/>
      <c r="E459" s="208"/>
      <c r="F459" s="208"/>
      <c r="G459" s="208"/>
      <c r="H459" s="209"/>
      <c r="I459" s="210"/>
      <c r="J459" s="210"/>
      <c r="K459" s="260"/>
      <c r="L459" s="260"/>
      <c r="M459" s="260"/>
      <c r="N459" s="260"/>
      <c r="O459" s="260"/>
      <c r="P459" s="211"/>
      <c r="Q459" s="261"/>
      <c r="R459" s="208" t="str">
        <f ca="1">IF(ISERROR($V459),"",OFFSET('Smelter Look-up'!$C$4,$V459-4,0)&amp;"")</f>
        <v/>
      </c>
      <c r="S459" s="215" t="str">
        <f t="shared" ca="1" si="66"/>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si="67"/>
        <v>0</v>
      </c>
      <c r="Y459" s="263"/>
      <c r="Z459" s="263"/>
      <c r="AB459" s="265" t="str">
        <f t="shared" si="68"/>
        <v/>
      </c>
    </row>
    <row r="460" spans="1:28" s="264" customFormat="1" ht="20.399999999999999">
      <c r="A460" s="207"/>
      <c r="B460" s="208"/>
      <c r="C460" s="212"/>
      <c r="D460" s="270"/>
      <c r="E460" s="208"/>
      <c r="F460" s="208"/>
      <c r="G460" s="208"/>
      <c r="H460" s="209"/>
      <c r="I460" s="210"/>
      <c r="J460" s="210"/>
      <c r="K460" s="260"/>
      <c r="L460" s="260"/>
      <c r="M460" s="260"/>
      <c r="N460" s="260"/>
      <c r="O460" s="260"/>
      <c r="P460" s="211"/>
      <c r="Q460" s="261"/>
      <c r="R460" s="208" t="str">
        <f ca="1">IF(ISERROR($V460),"",OFFSET('Smelter Look-up'!$C$4,$V460-4,0)&amp;"")</f>
        <v/>
      </c>
      <c r="S460" s="215" t="str">
        <f t="shared" ca="1" si="66"/>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si="67"/>
        <v>0</v>
      </c>
      <c r="Y460" s="263"/>
      <c r="Z460" s="263"/>
      <c r="AB460" s="265" t="str">
        <f t="shared" si="68"/>
        <v/>
      </c>
    </row>
    <row r="461" spans="1:28" s="264" customFormat="1" ht="20.399999999999999">
      <c r="A461" s="207"/>
      <c r="B461" s="208"/>
      <c r="C461" s="212"/>
      <c r="D461" s="270"/>
      <c r="E461" s="208"/>
      <c r="F461" s="208"/>
      <c r="G461" s="208"/>
      <c r="H461" s="209"/>
      <c r="I461" s="210"/>
      <c r="J461" s="210"/>
      <c r="K461" s="260"/>
      <c r="L461" s="260"/>
      <c r="M461" s="260"/>
      <c r="N461" s="260"/>
      <c r="O461" s="260"/>
      <c r="P461" s="211"/>
      <c r="Q461" s="261"/>
      <c r="R461" s="208" t="str">
        <f ca="1">IF(ISERROR($V461),"",OFFSET('Smelter Look-up'!$C$4,$V461-4,0)&amp;"")</f>
        <v/>
      </c>
      <c r="S461" s="215" t="str">
        <f t="shared" ca="1" si="66"/>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si="67"/>
        <v>0</v>
      </c>
      <c r="Y461" s="263"/>
      <c r="Z461" s="263"/>
      <c r="AB461" s="265" t="str">
        <f t="shared" si="68"/>
        <v/>
      </c>
    </row>
    <row r="462" spans="1:28" s="264" customFormat="1" ht="20.399999999999999">
      <c r="A462" s="207"/>
      <c r="B462" s="208"/>
      <c r="C462" s="212"/>
      <c r="D462" s="270"/>
      <c r="E462" s="208"/>
      <c r="F462" s="208"/>
      <c r="G462" s="208"/>
      <c r="H462" s="209"/>
      <c r="I462" s="210"/>
      <c r="J462" s="210"/>
      <c r="K462" s="260"/>
      <c r="L462" s="260"/>
      <c r="M462" s="260"/>
      <c r="N462" s="260"/>
      <c r="O462" s="260"/>
      <c r="P462" s="211"/>
      <c r="Q462" s="261"/>
      <c r="R462" s="208" t="str">
        <f ca="1">IF(ISERROR($V462),"",OFFSET('Smelter Look-up'!$C$4,$V462-4,0)&amp;"")</f>
        <v/>
      </c>
      <c r="S462" s="215" t="str">
        <f t="shared" ca="1" si="66"/>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si="67"/>
        <v>0</v>
      </c>
      <c r="Y462" s="263"/>
      <c r="Z462" s="263"/>
      <c r="AB462" s="265" t="str">
        <f t="shared" si="68"/>
        <v/>
      </c>
    </row>
    <row r="463" spans="1:28" s="264" customFormat="1" ht="20.399999999999999">
      <c r="A463" s="207"/>
      <c r="B463" s="208"/>
      <c r="C463" s="212"/>
      <c r="D463" s="270"/>
      <c r="E463" s="208"/>
      <c r="F463" s="208"/>
      <c r="G463" s="208"/>
      <c r="H463" s="209"/>
      <c r="I463" s="210"/>
      <c r="J463" s="210"/>
      <c r="K463" s="260"/>
      <c r="L463" s="260"/>
      <c r="M463" s="260"/>
      <c r="N463" s="260"/>
      <c r="O463" s="260"/>
      <c r="P463" s="211"/>
      <c r="Q463" s="261"/>
      <c r="R463" s="208" t="str">
        <f ca="1">IF(ISERROR($V463),"",OFFSET('Smelter Look-up'!$C$4,$V463-4,0)&amp;"")</f>
        <v/>
      </c>
      <c r="S463" s="215" t="str">
        <f t="shared" ca="1" si="66"/>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si="67"/>
        <v>0</v>
      </c>
      <c r="Y463" s="263"/>
      <c r="Z463" s="263"/>
      <c r="AB463" s="265" t="str">
        <f t="shared" si="68"/>
        <v/>
      </c>
    </row>
    <row r="464" spans="1:28" s="264" customFormat="1" ht="20.399999999999999">
      <c r="A464" s="207"/>
      <c r="B464" s="208"/>
      <c r="C464" s="212"/>
      <c r="D464" s="270"/>
      <c r="E464" s="208"/>
      <c r="F464" s="208"/>
      <c r="G464" s="208"/>
      <c r="H464" s="209"/>
      <c r="I464" s="210"/>
      <c r="J464" s="210"/>
      <c r="K464" s="260"/>
      <c r="L464" s="260"/>
      <c r="M464" s="260"/>
      <c r="N464" s="260"/>
      <c r="O464" s="260"/>
      <c r="P464" s="211"/>
      <c r="Q464" s="261"/>
      <c r="R464" s="208" t="str">
        <f ca="1">IF(ISERROR($V464),"",OFFSET('Smelter Look-up'!$C$4,$V464-4,0)&amp;"")</f>
        <v/>
      </c>
      <c r="S464" s="215" t="str">
        <f t="shared" ca="1" si="66"/>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si="67"/>
        <v>0</v>
      </c>
      <c r="Y464" s="263"/>
      <c r="Z464" s="263"/>
      <c r="AB464" s="265" t="str">
        <f t="shared" si="68"/>
        <v/>
      </c>
    </row>
    <row r="465" spans="1:28" s="264" customFormat="1" ht="20.399999999999999">
      <c r="A465" s="207"/>
      <c r="B465" s="208"/>
      <c r="C465" s="212"/>
      <c r="D465" s="270"/>
      <c r="E465" s="208"/>
      <c r="F465" s="208"/>
      <c r="G465" s="208"/>
      <c r="H465" s="209"/>
      <c r="I465" s="210"/>
      <c r="J465" s="210"/>
      <c r="K465" s="260"/>
      <c r="L465" s="260"/>
      <c r="M465" s="260"/>
      <c r="N465" s="260"/>
      <c r="O465" s="260"/>
      <c r="P465" s="211"/>
      <c r="Q465" s="261"/>
      <c r="R465" s="208" t="str">
        <f ca="1">IF(ISERROR($V465),"",OFFSET('Smelter Look-up'!$C$4,$V465-4,0)&amp;"")</f>
        <v/>
      </c>
      <c r="S465" s="215" t="str">
        <f t="shared" ca="1" si="66"/>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si="67"/>
        <v>0</v>
      </c>
      <c r="Y465" s="263"/>
      <c r="Z465" s="263"/>
      <c r="AB465" s="265" t="str">
        <f t="shared" si="68"/>
        <v/>
      </c>
    </row>
    <row r="466" spans="1:28" s="264" customFormat="1" ht="20.399999999999999">
      <c r="A466" s="207"/>
      <c r="B466" s="208"/>
      <c r="C466" s="212"/>
      <c r="D466" s="270"/>
      <c r="E466" s="208"/>
      <c r="F466" s="208"/>
      <c r="G466" s="208"/>
      <c r="H466" s="209"/>
      <c r="I466" s="210"/>
      <c r="J466" s="210"/>
      <c r="K466" s="260"/>
      <c r="L466" s="260"/>
      <c r="M466" s="260"/>
      <c r="N466" s="260"/>
      <c r="O466" s="260"/>
      <c r="P466" s="211"/>
      <c r="Q466" s="261"/>
      <c r="R466" s="208" t="str">
        <f ca="1">IF(ISERROR($V466),"",OFFSET('Smelter Look-up'!$C$4,$V466-4,0)&amp;"")</f>
        <v/>
      </c>
      <c r="S466" s="215" t="str">
        <f t="shared" ca="1" si="66"/>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si="67"/>
        <v>0</v>
      </c>
      <c r="Y466" s="263"/>
      <c r="Z466" s="263"/>
      <c r="AB466" s="265" t="str">
        <f t="shared" si="68"/>
        <v/>
      </c>
    </row>
    <row r="467" spans="1:28" s="264" customFormat="1" ht="20.399999999999999">
      <c r="A467" s="207"/>
      <c r="B467" s="208"/>
      <c r="C467" s="212"/>
      <c r="D467" s="270"/>
      <c r="E467" s="208"/>
      <c r="F467" s="208"/>
      <c r="G467" s="208"/>
      <c r="H467" s="209"/>
      <c r="I467" s="210"/>
      <c r="J467" s="210"/>
      <c r="K467" s="260"/>
      <c r="L467" s="260"/>
      <c r="M467" s="260"/>
      <c r="N467" s="260"/>
      <c r="O467" s="260"/>
      <c r="P467" s="211"/>
      <c r="Q467" s="261"/>
      <c r="R467" s="208" t="str">
        <f ca="1">IF(ISERROR($V467),"",OFFSET('Smelter Look-up'!$C$4,$V467-4,0)&amp;"")</f>
        <v/>
      </c>
      <c r="S467" s="215" t="str">
        <f t="shared" ca="1" si="66"/>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si="67"/>
        <v>0</v>
      </c>
      <c r="Y467" s="263"/>
      <c r="Z467" s="263"/>
      <c r="AB467" s="265" t="str">
        <f t="shared" si="68"/>
        <v/>
      </c>
    </row>
    <row r="468" spans="1:28" s="264" customFormat="1" ht="20.399999999999999">
      <c r="A468" s="207"/>
      <c r="B468" s="208"/>
      <c r="C468" s="212"/>
      <c r="D468" s="270"/>
      <c r="E468" s="208"/>
      <c r="F468" s="208"/>
      <c r="G468" s="208"/>
      <c r="H468" s="209"/>
      <c r="I468" s="210"/>
      <c r="J468" s="210"/>
      <c r="K468" s="260"/>
      <c r="L468" s="260"/>
      <c r="M468" s="260"/>
      <c r="N468" s="260"/>
      <c r="O468" s="260"/>
      <c r="P468" s="211"/>
      <c r="Q468" s="261"/>
      <c r="R468" s="208" t="str">
        <f ca="1">IF(ISERROR($V468),"",OFFSET('Smelter Look-up'!$C$4,$V468-4,0)&amp;"")</f>
        <v/>
      </c>
      <c r="S468" s="215" t="str">
        <f t="shared" ca="1" si="66"/>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si="67"/>
        <v>0</v>
      </c>
      <c r="Y468" s="263"/>
      <c r="Z468" s="263"/>
      <c r="AB468" s="265" t="str">
        <f t="shared" si="68"/>
        <v/>
      </c>
    </row>
    <row r="469" spans="1:28" s="264" customFormat="1" ht="20.399999999999999">
      <c r="A469" s="207"/>
      <c r="B469" s="208"/>
      <c r="C469" s="212"/>
      <c r="D469" s="270"/>
      <c r="E469" s="208"/>
      <c r="F469" s="208"/>
      <c r="G469" s="208"/>
      <c r="H469" s="209"/>
      <c r="I469" s="210"/>
      <c r="J469" s="210"/>
      <c r="K469" s="260"/>
      <c r="L469" s="260"/>
      <c r="M469" s="260"/>
      <c r="N469" s="260"/>
      <c r="O469" s="260"/>
      <c r="P469" s="211"/>
      <c r="Q469" s="261"/>
      <c r="R469" s="208" t="str">
        <f ca="1">IF(ISERROR($V469),"",OFFSET('Smelter Look-up'!$C$4,$V469-4,0)&amp;"")</f>
        <v/>
      </c>
      <c r="S469" s="215" t="str">
        <f t="shared" ca="1" si="66"/>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si="67"/>
        <v>0</v>
      </c>
      <c r="Y469" s="263"/>
      <c r="Z469" s="263"/>
      <c r="AB469" s="265" t="str">
        <f t="shared" si="68"/>
        <v/>
      </c>
    </row>
    <row r="470" spans="1:28" s="264" customFormat="1" ht="20.399999999999999">
      <c r="A470" s="207"/>
      <c r="B470" s="208"/>
      <c r="C470" s="212"/>
      <c r="D470" s="270"/>
      <c r="E470" s="208"/>
      <c r="F470" s="208"/>
      <c r="G470" s="208"/>
      <c r="H470" s="209"/>
      <c r="I470" s="210"/>
      <c r="J470" s="210"/>
      <c r="K470" s="260"/>
      <c r="L470" s="260"/>
      <c r="M470" s="260"/>
      <c r="N470" s="260"/>
      <c r="O470" s="260"/>
      <c r="P470" s="211"/>
      <c r="Q470" s="261"/>
      <c r="R470" s="208" t="str">
        <f ca="1">IF(ISERROR($V470),"",OFFSET('Smelter Look-up'!$C$4,$V470-4,0)&amp;"")</f>
        <v/>
      </c>
      <c r="S470" s="215" t="str">
        <f t="shared" ca="1" si="66"/>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si="67"/>
        <v>0</v>
      </c>
      <c r="Y470" s="263"/>
      <c r="Z470" s="263"/>
      <c r="AB470" s="265" t="str">
        <f t="shared" si="68"/>
        <v/>
      </c>
    </row>
    <row r="471" spans="1:28" s="264" customFormat="1" ht="20.399999999999999">
      <c r="A471" s="207"/>
      <c r="B471" s="208"/>
      <c r="C471" s="212"/>
      <c r="D471" s="270"/>
      <c r="E471" s="208"/>
      <c r="F471" s="208"/>
      <c r="G471" s="208"/>
      <c r="H471" s="209"/>
      <c r="I471" s="210"/>
      <c r="J471" s="210"/>
      <c r="K471" s="260"/>
      <c r="L471" s="260"/>
      <c r="M471" s="260"/>
      <c r="N471" s="260"/>
      <c r="O471" s="260"/>
      <c r="P471" s="211"/>
      <c r="Q471" s="261"/>
      <c r="R471" s="208" t="str">
        <f ca="1">IF(ISERROR($V471),"",OFFSET('Smelter Look-up'!$C$4,$V471-4,0)&amp;"")</f>
        <v/>
      </c>
      <c r="S471" s="215" t="str">
        <f t="shared" ca="1" si="66"/>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si="67"/>
        <v>0</v>
      </c>
      <c r="Y471" s="263"/>
      <c r="Z471" s="263"/>
      <c r="AB471" s="265" t="str">
        <f t="shared" si="68"/>
        <v/>
      </c>
    </row>
    <row r="472" spans="1:28" s="264" customFormat="1" ht="20.399999999999999">
      <c r="A472" s="207"/>
      <c r="B472" s="208"/>
      <c r="C472" s="212"/>
      <c r="D472" s="270"/>
      <c r="E472" s="208"/>
      <c r="F472" s="208"/>
      <c r="G472" s="208"/>
      <c r="H472" s="209"/>
      <c r="I472" s="210"/>
      <c r="J472" s="210"/>
      <c r="K472" s="260"/>
      <c r="L472" s="260"/>
      <c r="M472" s="260"/>
      <c r="N472" s="260"/>
      <c r="O472" s="260"/>
      <c r="P472" s="211"/>
      <c r="Q472" s="261"/>
      <c r="R472" s="208" t="str">
        <f ca="1">IF(ISERROR($V472),"",OFFSET('Smelter Look-up'!$C$4,$V472-4,0)&amp;"")</f>
        <v/>
      </c>
      <c r="S472" s="215" t="str">
        <f t="shared" ca="1" si="66"/>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si="67"/>
        <v>0</v>
      </c>
      <c r="Y472" s="263"/>
      <c r="Z472" s="263"/>
      <c r="AB472" s="265" t="str">
        <f t="shared" si="68"/>
        <v/>
      </c>
    </row>
    <row r="473" spans="1:28" s="264" customFormat="1" ht="20.399999999999999">
      <c r="A473" s="207"/>
      <c r="B473" s="208"/>
      <c r="C473" s="212"/>
      <c r="D473" s="270"/>
      <c r="E473" s="208"/>
      <c r="F473" s="208"/>
      <c r="G473" s="208"/>
      <c r="H473" s="209"/>
      <c r="I473" s="210"/>
      <c r="J473" s="210"/>
      <c r="K473" s="260"/>
      <c r="L473" s="260"/>
      <c r="M473" s="260"/>
      <c r="N473" s="260"/>
      <c r="O473" s="260"/>
      <c r="P473" s="211"/>
      <c r="Q473" s="261"/>
      <c r="R473" s="208" t="str">
        <f ca="1">IF(ISERROR($V473),"",OFFSET('Smelter Look-up'!$C$4,$V473-4,0)&amp;"")</f>
        <v/>
      </c>
      <c r="S473" s="215" t="str">
        <f t="shared" ca="1" si="66"/>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si="67"/>
        <v>0</v>
      </c>
      <c r="Y473" s="263"/>
      <c r="Z473" s="263"/>
      <c r="AB473" s="265" t="str">
        <f t="shared" si="68"/>
        <v/>
      </c>
    </row>
    <row r="474" spans="1:28" s="264" customFormat="1" ht="20.399999999999999">
      <c r="A474" s="207"/>
      <c r="B474" s="208"/>
      <c r="C474" s="212"/>
      <c r="D474" s="270"/>
      <c r="E474" s="208"/>
      <c r="F474" s="208"/>
      <c r="G474" s="208"/>
      <c r="H474" s="209"/>
      <c r="I474" s="210"/>
      <c r="J474" s="210"/>
      <c r="K474" s="260"/>
      <c r="L474" s="260"/>
      <c r="M474" s="260"/>
      <c r="N474" s="260"/>
      <c r="O474" s="260"/>
      <c r="P474" s="211"/>
      <c r="Q474" s="261"/>
      <c r="R474" s="208" t="str">
        <f ca="1">IF(ISERROR($V474),"",OFFSET('Smelter Look-up'!$C$4,$V474-4,0)&amp;"")</f>
        <v/>
      </c>
      <c r="S474" s="215" t="str">
        <f t="shared" ca="1" si="66"/>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si="67"/>
        <v>0</v>
      </c>
      <c r="Y474" s="263"/>
      <c r="Z474" s="263"/>
      <c r="AB474" s="265" t="str">
        <f t="shared" si="68"/>
        <v/>
      </c>
    </row>
    <row r="475" spans="1:28" s="264" customFormat="1" ht="20.399999999999999">
      <c r="A475" s="207"/>
      <c r="B475" s="208"/>
      <c r="C475" s="212"/>
      <c r="D475" s="270"/>
      <c r="E475" s="208"/>
      <c r="F475" s="208"/>
      <c r="G475" s="208"/>
      <c r="H475" s="209"/>
      <c r="I475" s="210"/>
      <c r="J475" s="210"/>
      <c r="K475" s="260"/>
      <c r="L475" s="260"/>
      <c r="M475" s="260"/>
      <c r="N475" s="260"/>
      <c r="O475" s="260"/>
      <c r="P475" s="211"/>
      <c r="Q475" s="261"/>
      <c r="R475" s="208" t="str">
        <f ca="1">IF(ISERROR($V475),"",OFFSET('Smelter Look-up'!$C$4,$V475-4,0)&amp;"")</f>
        <v/>
      </c>
      <c r="S475" s="215" t="str">
        <f t="shared" ca="1" si="66"/>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si="67"/>
        <v>0</v>
      </c>
      <c r="Y475" s="263"/>
      <c r="Z475" s="263"/>
      <c r="AB475" s="265" t="str">
        <f t="shared" si="68"/>
        <v/>
      </c>
    </row>
    <row r="476" spans="1:28" s="264" customFormat="1" ht="20.399999999999999">
      <c r="A476" s="207"/>
      <c r="B476" s="208"/>
      <c r="C476" s="212"/>
      <c r="D476" s="270"/>
      <c r="E476" s="208"/>
      <c r="F476" s="208"/>
      <c r="G476" s="208"/>
      <c r="H476" s="209"/>
      <c r="I476" s="210"/>
      <c r="J476" s="210"/>
      <c r="K476" s="260"/>
      <c r="L476" s="260"/>
      <c r="M476" s="260"/>
      <c r="N476" s="260"/>
      <c r="O476" s="260"/>
      <c r="P476" s="211"/>
      <c r="Q476" s="261"/>
      <c r="R476" s="208" t="str">
        <f ca="1">IF(ISERROR($V476),"",OFFSET('Smelter Look-up'!$C$4,$V476-4,0)&amp;"")</f>
        <v/>
      </c>
      <c r="S476" s="215" t="str">
        <f t="shared" ca="1" si="66"/>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si="67"/>
        <v>0</v>
      </c>
      <c r="Y476" s="263"/>
      <c r="Z476" s="263"/>
      <c r="AB476" s="265" t="str">
        <f t="shared" si="68"/>
        <v/>
      </c>
    </row>
    <row r="477" spans="1:28" s="264" customFormat="1" ht="20.399999999999999">
      <c r="A477" s="207"/>
      <c r="B477" s="208"/>
      <c r="C477" s="212"/>
      <c r="D477" s="270"/>
      <c r="E477" s="208"/>
      <c r="F477" s="208"/>
      <c r="G477" s="208"/>
      <c r="H477" s="209"/>
      <c r="I477" s="210"/>
      <c r="J477" s="210"/>
      <c r="K477" s="260"/>
      <c r="L477" s="260"/>
      <c r="M477" s="260"/>
      <c r="N477" s="260"/>
      <c r="O477" s="260"/>
      <c r="P477" s="211"/>
      <c r="Q477" s="261"/>
      <c r="R477" s="208" t="str">
        <f ca="1">IF(ISERROR($V477),"",OFFSET('Smelter Look-up'!$C$4,$V477-4,0)&amp;"")</f>
        <v/>
      </c>
      <c r="S477" s="215" t="str">
        <f t="shared" ca="1" si="66"/>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si="67"/>
        <v>0</v>
      </c>
      <c r="Y477" s="263"/>
      <c r="Z477" s="263"/>
      <c r="AB477" s="265" t="str">
        <f t="shared" si="68"/>
        <v/>
      </c>
    </row>
    <row r="478" spans="1:28" s="264" customFormat="1" ht="20.399999999999999">
      <c r="A478" s="207"/>
      <c r="B478" s="208"/>
      <c r="C478" s="212"/>
      <c r="D478" s="270"/>
      <c r="E478" s="208"/>
      <c r="F478" s="208"/>
      <c r="G478" s="208"/>
      <c r="H478" s="209"/>
      <c r="I478" s="210"/>
      <c r="J478" s="210"/>
      <c r="K478" s="260"/>
      <c r="L478" s="260"/>
      <c r="M478" s="260"/>
      <c r="N478" s="260"/>
      <c r="O478" s="260"/>
      <c r="P478" s="211"/>
      <c r="Q478" s="261"/>
      <c r="R478" s="208" t="str">
        <f ca="1">IF(ISERROR($V478),"",OFFSET('Smelter Look-up'!$C$4,$V478-4,0)&amp;"")</f>
        <v/>
      </c>
      <c r="S478" s="215" t="str">
        <f t="shared" ca="1" si="66"/>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si="67"/>
        <v>0</v>
      </c>
      <c r="Y478" s="263"/>
      <c r="Z478" s="263"/>
      <c r="AB478" s="265" t="str">
        <f t="shared" si="68"/>
        <v/>
      </c>
    </row>
    <row r="479" spans="1:28" s="264" customFormat="1" ht="20.399999999999999">
      <c r="A479" s="207"/>
      <c r="B479" s="208"/>
      <c r="C479" s="212"/>
      <c r="D479" s="270"/>
      <c r="E479" s="208"/>
      <c r="F479" s="208"/>
      <c r="G479" s="208"/>
      <c r="H479" s="209"/>
      <c r="I479" s="210"/>
      <c r="J479" s="210"/>
      <c r="K479" s="260"/>
      <c r="L479" s="260"/>
      <c r="M479" s="260"/>
      <c r="N479" s="260"/>
      <c r="O479" s="260"/>
      <c r="P479" s="211"/>
      <c r="Q479" s="261"/>
      <c r="R479" s="208" t="str">
        <f ca="1">IF(ISERROR($V479),"",OFFSET('Smelter Look-up'!$C$4,$V479-4,0)&amp;"")</f>
        <v/>
      </c>
      <c r="S479" s="215" t="str">
        <f t="shared" ca="1" si="66"/>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si="67"/>
        <v>0</v>
      </c>
      <c r="Y479" s="263"/>
      <c r="Z479" s="263"/>
      <c r="AB479" s="265" t="str">
        <f t="shared" si="68"/>
        <v/>
      </c>
    </row>
    <row r="480" spans="1:28" s="264" customFormat="1" ht="20.399999999999999">
      <c r="A480" s="207"/>
      <c r="B480" s="208"/>
      <c r="C480" s="212"/>
      <c r="D480" s="270"/>
      <c r="E480" s="208"/>
      <c r="F480" s="208"/>
      <c r="G480" s="208"/>
      <c r="H480" s="209"/>
      <c r="I480" s="210"/>
      <c r="J480" s="210"/>
      <c r="K480" s="260"/>
      <c r="L480" s="260"/>
      <c r="M480" s="260"/>
      <c r="N480" s="260"/>
      <c r="O480" s="260"/>
      <c r="P480" s="211"/>
      <c r="Q480" s="261"/>
      <c r="R480" s="208" t="str">
        <f ca="1">IF(ISERROR($V480),"",OFFSET('Smelter Look-up'!$C$4,$V480-4,0)&amp;"")</f>
        <v/>
      </c>
      <c r="S480" s="215" t="str">
        <f t="shared" ca="1" si="66"/>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si="67"/>
        <v>0</v>
      </c>
      <c r="Y480" s="263"/>
      <c r="Z480" s="263"/>
      <c r="AB480" s="265" t="str">
        <f t="shared" si="68"/>
        <v/>
      </c>
    </row>
    <row r="481" spans="1:28" s="264" customFormat="1" ht="20.399999999999999">
      <c r="A481" s="207"/>
      <c r="B481" s="208"/>
      <c r="C481" s="212"/>
      <c r="D481" s="270"/>
      <c r="E481" s="208"/>
      <c r="F481" s="208"/>
      <c r="G481" s="208"/>
      <c r="H481" s="209"/>
      <c r="I481" s="210"/>
      <c r="J481" s="210"/>
      <c r="K481" s="260"/>
      <c r="L481" s="260"/>
      <c r="M481" s="260"/>
      <c r="N481" s="260"/>
      <c r="O481" s="260"/>
      <c r="P481" s="211"/>
      <c r="Q481" s="261"/>
      <c r="R481" s="208" t="str">
        <f ca="1">IF(ISERROR($V481),"",OFFSET('Smelter Look-up'!$C$4,$V481-4,0)&amp;"")</f>
        <v/>
      </c>
      <c r="S481" s="215" t="str">
        <f t="shared" ca="1" si="66"/>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si="67"/>
        <v>0</v>
      </c>
      <c r="Y481" s="263"/>
      <c r="Z481" s="263"/>
      <c r="AB481" s="265" t="str">
        <f t="shared" si="68"/>
        <v/>
      </c>
    </row>
    <row r="482" spans="1:28" s="264" customFormat="1" ht="20.399999999999999">
      <c r="A482" s="207"/>
      <c r="B482" s="208"/>
      <c r="C482" s="212"/>
      <c r="D482" s="270"/>
      <c r="E482" s="208"/>
      <c r="F482" s="208"/>
      <c r="G482" s="208"/>
      <c r="H482" s="209"/>
      <c r="I482" s="210"/>
      <c r="J482" s="210"/>
      <c r="K482" s="260"/>
      <c r="L482" s="260"/>
      <c r="M482" s="260"/>
      <c r="N482" s="260"/>
      <c r="O482" s="260"/>
      <c r="P482" s="211"/>
      <c r="Q482" s="261"/>
      <c r="R482" s="208" t="str">
        <f ca="1">IF(ISERROR($V482),"",OFFSET('Smelter Look-up'!$C$4,$V482-4,0)&amp;"")</f>
        <v/>
      </c>
      <c r="S482" s="215" t="str">
        <f t="shared" ca="1" si="66"/>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si="67"/>
        <v>0</v>
      </c>
      <c r="Y482" s="263"/>
      <c r="Z482" s="263"/>
      <c r="AB482" s="265" t="str">
        <f t="shared" si="68"/>
        <v/>
      </c>
    </row>
    <row r="483" spans="1:28" s="264" customFormat="1" ht="20.399999999999999">
      <c r="A483" s="207"/>
      <c r="B483" s="208"/>
      <c r="C483" s="212"/>
      <c r="D483" s="270"/>
      <c r="E483" s="208"/>
      <c r="F483" s="208"/>
      <c r="G483" s="208"/>
      <c r="H483" s="209"/>
      <c r="I483" s="210"/>
      <c r="J483" s="210"/>
      <c r="K483" s="260"/>
      <c r="L483" s="260"/>
      <c r="M483" s="260"/>
      <c r="N483" s="260"/>
      <c r="O483" s="260"/>
      <c r="P483" s="211"/>
      <c r="Q483" s="261"/>
      <c r="R483" s="208" t="str">
        <f ca="1">IF(ISERROR($V483),"",OFFSET('Smelter Look-up'!$C$4,$V483-4,0)&amp;"")</f>
        <v/>
      </c>
      <c r="S483" s="215" t="str">
        <f t="shared" ca="1" si="66"/>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si="67"/>
        <v>0</v>
      </c>
      <c r="Y483" s="263"/>
      <c r="Z483" s="263"/>
      <c r="AB483" s="265" t="str">
        <f t="shared" si="68"/>
        <v/>
      </c>
    </row>
    <row r="484" spans="1:28" s="264" customFormat="1" ht="20.399999999999999">
      <c r="A484" s="207"/>
      <c r="B484" s="208"/>
      <c r="C484" s="212"/>
      <c r="D484" s="270"/>
      <c r="E484" s="208"/>
      <c r="F484" s="208"/>
      <c r="G484" s="208"/>
      <c r="H484" s="209"/>
      <c r="I484" s="210"/>
      <c r="J484" s="210"/>
      <c r="K484" s="260"/>
      <c r="L484" s="260"/>
      <c r="M484" s="260"/>
      <c r="N484" s="260"/>
      <c r="O484" s="260"/>
      <c r="P484" s="211"/>
      <c r="Q484" s="261"/>
      <c r="R484" s="208" t="str">
        <f ca="1">IF(ISERROR($V484),"",OFFSET('Smelter Look-up'!$C$4,$V484-4,0)&amp;"")</f>
        <v/>
      </c>
      <c r="S484" s="215" t="str">
        <f t="shared" ca="1" si="66"/>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si="67"/>
        <v>0</v>
      </c>
      <c r="Y484" s="263"/>
      <c r="Z484" s="263"/>
      <c r="AB484" s="265" t="str">
        <f t="shared" si="68"/>
        <v/>
      </c>
    </row>
    <row r="485" spans="1:28" s="264" customFormat="1" ht="20.399999999999999">
      <c r="A485" s="207"/>
      <c r="B485" s="208"/>
      <c r="C485" s="212"/>
      <c r="D485" s="270"/>
      <c r="E485" s="208"/>
      <c r="F485" s="208"/>
      <c r="G485" s="208"/>
      <c r="H485" s="209"/>
      <c r="I485" s="210"/>
      <c r="J485" s="210"/>
      <c r="K485" s="260"/>
      <c r="L485" s="260"/>
      <c r="M485" s="260"/>
      <c r="N485" s="260"/>
      <c r="O485" s="260"/>
      <c r="P485" s="211"/>
      <c r="Q485" s="261"/>
      <c r="R485" s="208" t="str">
        <f ca="1">IF(ISERROR($V485),"",OFFSET('Smelter Look-up'!$C$4,$V485-4,0)&amp;"")</f>
        <v/>
      </c>
      <c r="S485" s="215" t="str">
        <f t="shared" ca="1" si="66"/>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si="67"/>
        <v>0</v>
      </c>
      <c r="Y485" s="263"/>
      <c r="Z485" s="263"/>
      <c r="AB485" s="265" t="str">
        <f t="shared" si="68"/>
        <v/>
      </c>
    </row>
    <row r="486" spans="1:28" s="264" customFormat="1" ht="20.399999999999999">
      <c r="A486" s="207"/>
      <c r="B486" s="208"/>
      <c r="C486" s="212"/>
      <c r="D486" s="270"/>
      <c r="E486" s="208"/>
      <c r="F486" s="208"/>
      <c r="G486" s="208"/>
      <c r="H486" s="209"/>
      <c r="I486" s="210"/>
      <c r="J486" s="210"/>
      <c r="K486" s="260"/>
      <c r="L486" s="260"/>
      <c r="M486" s="260"/>
      <c r="N486" s="260"/>
      <c r="O486" s="260"/>
      <c r="P486" s="211"/>
      <c r="Q486" s="261"/>
      <c r="R486" s="208" t="str">
        <f ca="1">IF(ISERROR($V486),"",OFFSET('Smelter Look-up'!$C$4,$V486-4,0)&amp;"")</f>
        <v/>
      </c>
      <c r="S486" s="215" t="str">
        <f t="shared" ref="S486:S516" ca="1" si="69">IF(B486="","",IF(ISERROR(MATCH($E486,CL,0)),"Unknown",INDIRECT("'C'!$A$"&amp;MATCH($E486,CL,0)+1)))</f>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ref="X486:X516" si="70">IF(AND(C486="Smelter not listed",OR(LEN(D486)=0,LEN(E486)=0)),1,0)</f>
        <v>0</v>
      </c>
      <c r="Y486" s="263"/>
      <c r="Z486" s="263"/>
      <c r="AB486" s="265" t="str">
        <f t="shared" ref="AB486:AB516" si="71">B486&amp;C486</f>
        <v/>
      </c>
    </row>
    <row r="487" spans="1:28" s="264" customFormat="1" ht="20.399999999999999">
      <c r="A487" s="207"/>
      <c r="B487" s="208"/>
      <c r="C487" s="212"/>
      <c r="D487" s="270"/>
      <c r="E487" s="208"/>
      <c r="F487" s="208"/>
      <c r="G487" s="208"/>
      <c r="H487" s="209"/>
      <c r="I487" s="210"/>
      <c r="J487" s="210"/>
      <c r="K487" s="260"/>
      <c r="L487" s="260"/>
      <c r="M487" s="260"/>
      <c r="N487" s="260"/>
      <c r="O487" s="260"/>
      <c r="P487" s="211"/>
      <c r="Q487" s="261"/>
      <c r="R487" s="208" t="str">
        <f ca="1">IF(ISERROR($V487),"",OFFSET('Smelter Look-up'!$C$4,$V487-4,0)&amp;"")</f>
        <v/>
      </c>
      <c r="S487" s="215" t="str">
        <f t="shared" ca="1" si="69"/>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si="70"/>
        <v>0</v>
      </c>
      <c r="Y487" s="263"/>
      <c r="Z487" s="263"/>
      <c r="AB487" s="265" t="str">
        <f t="shared" si="71"/>
        <v/>
      </c>
    </row>
    <row r="488" spans="1:28" s="264" customFormat="1" ht="20.399999999999999">
      <c r="A488" s="207"/>
      <c r="B488" s="208"/>
      <c r="C488" s="212"/>
      <c r="D488" s="270"/>
      <c r="E488" s="208"/>
      <c r="F488" s="208"/>
      <c r="G488" s="208"/>
      <c r="H488" s="209"/>
      <c r="I488" s="210"/>
      <c r="J488" s="210"/>
      <c r="K488" s="260"/>
      <c r="L488" s="260"/>
      <c r="M488" s="260"/>
      <c r="N488" s="260"/>
      <c r="O488" s="260"/>
      <c r="P488" s="211"/>
      <c r="Q488" s="261"/>
      <c r="R488" s="208" t="str">
        <f ca="1">IF(ISERROR($V488),"",OFFSET('Smelter Look-up'!$C$4,$V488-4,0)&amp;"")</f>
        <v/>
      </c>
      <c r="S488" s="215" t="str">
        <f t="shared" ca="1" si="69"/>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si="70"/>
        <v>0</v>
      </c>
      <c r="Y488" s="263"/>
      <c r="Z488" s="263"/>
      <c r="AB488" s="265" t="str">
        <f t="shared" si="71"/>
        <v/>
      </c>
    </row>
    <row r="489" spans="1:28" s="264" customFormat="1" ht="20.399999999999999">
      <c r="A489" s="207"/>
      <c r="B489" s="208"/>
      <c r="C489" s="212"/>
      <c r="D489" s="270"/>
      <c r="E489" s="208"/>
      <c r="F489" s="208"/>
      <c r="G489" s="208"/>
      <c r="H489" s="209"/>
      <c r="I489" s="210"/>
      <c r="J489" s="210"/>
      <c r="K489" s="260"/>
      <c r="L489" s="260"/>
      <c r="M489" s="260"/>
      <c r="N489" s="260"/>
      <c r="O489" s="260"/>
      <c r="P489" s="211"/>
      <c r="Q489" s="261"/>
      <c r="R489" s="208" t="str">
        <f ca="1">IF(ISERROR($V489),"",OFFSET('Smelter Look-up'!$C$4,$V489-4,0)&amp;"")</f>
        <v/>
      </c>
      <c r="S489" s="215" t="str">
        <f t="shared" ca="1" si="69"/>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si="70"/>
        <v>0</v>
      </c>
      <c r="Y489" s="263"/>
      <c r="Z489" s="263"/>
      <c r="AB489" s="265" t="str">
        <f t="shared" si="71"/>
        <v/>
      </c>
    </row>
    <row r="490" spans="1:28" s="264" customFormat="1" ht="20.399999999999999">
      <c r="A490" s="207"/>
      <c r="B490" s="208"/>
      <c r="C490" s="212"/>
      <c r="D490" s="270"/>
      <c r="E490" s="208"/>
      <c r="F490" s="208"/>
      <c r="G490" s="208"/>
      <c r="H490" s="209"/>
      <c r="I490" s="210"/>
      <c r="J490" s="210"/>
      <c r="K490" s="260"/>
      <c r="L490" s="260"/>
      <c r="M490" s="260"/>
      <c r="N490" s="260"/>
      <c r="O490" s="260"/>
      <c r="P490" s="211"/>
      <c r="Q490" s="261"/>
      <c r="R490" s="208" t="str">
        <f ca="1">IF(ISERROR($V490),"",OFFSET('Smelter Look-up'!$C$4,$V490-4,0)&amp;"")</f>
        <v/>
      </c>
      <c r="S490" s="215" t="str">
        <f t="shared" ca="1" si="69"/>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si="70"/>
        <v>0</v>
      </c>
      <c r="Y490" s="263"/>
      <c r="Z490" s="263"/>
      <c r="AB490" s="265" t="str">
        <f t="shared" si="71"/>
        <v/>
      </c>
    </row>
    <row r="491" spans="1:28" s="264" customFormat="1" ht="20.399999999999999">
      <c r="A491" s="207"/>
      <c r="B491" s="208"/>
      <c r="C491" s="212"/>
      <c r="D491" s="270"/>
      <c r="E491" s="208"/>
      <c r="F491" s="208"/>
      <c r="G491" s="208"/>
      <c r="H491" s="209"/>
      <c r="I491" s="210"/>
      <c r="J491" s="210"/>
      <c r="K491" s="260"/>
      <c r="L491" s="260"/>
      <c r="M491" s="260"/>
      <c r="N491" s="260"/>
      <c r="O491" s="260"/>
      <c r="P491" s="211"/>
      <c r="Q491" s="261"/>
      <c r="R491" s="208" t="str">
        <f ca="1">IF(ISERROR($V491),"",OFFSET('Smelter Look-up'!$C$4,$V491-4,0)&amp;"")</f>
        <v/>
      </c>
      <c r="S491" s="215" t="str">
        <f t="shared" ca="1" si="69"/>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si="70"/>
        <v>0</v>
      </c>
      <c r="Y491" s="263"/>
      <c r="Z491" s="263"/>
      <c r="AB491" s="265" t="str">
        <f t="shared" si="71"/>
        <v/>
      </c>
    </row>
    <row r="492" spans="1:28" s="264" customFormat="1" ht="20.399999999999999">
      <c r="A492" s="207"/>
      <c r="B492" s="208"/>
      <c r="C492" s="212"/>
      <c r="D492" s="270"/>
      <c r="E492" s="208"/>
      <c r="F492" s="208"/>
      <c r="G492" s="208"/>
      <c r="H492" s="209"/>
      <c r="I492" s="210"/>
      <c r="J492" s="210"/>
      <c r="K492" s="260"/>
      <c r="L492" s="260"/>
      <c r="M492" s="260"/>
      <c r="N492" s="260"/>
      <c r="O492" s="260"/>
      <c r="P492" s="211"/>
      <c r="Q492" s="261"/>
      <c r="R492" s="208" t="str">
        <f ca="1">IF(ISERROR($V492),"",OFFSET('Smelter Look-up'!$C$4,$V492-4,0)&amp;"")</f>
        <v/>
      </c>
      <c r="S492" s="215" t="str">
        <f t="shared" ca="1" si="69"/>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si="70"/>
        <v>0</v>
      </c>
      <c r="Y492" s="263"/>
      <c r="Z492" s="263"/>
      <c r="AB492" s="265" t="str">
        <f t="shared" si="71"/>
        <v/>
      </c>
    </row>
    <row r="493" spans="1:28" s="264" customFormat="1" ht="20.399999999999999">
      <c r="A493" s="207"/>
      <c r="B493" s="208"/>
      <c r="C493" s="212"/>
      <c r="D493" s="270"/>
      <c r="E493" s="208"/>
      <c r="F493" s="208"/>
      <c r="G493" s="208"/>
      <c r="H493" s="209"/>
      <c r="I493" s="210"/>
      <c r="J493" s="210"/>
      <c r="K493" s="260"/>
      <c r="L493" s="260"/>
      <c r="M493" s="260"/>
      <c r="N493" s="260"/>
      <c r="O493" s="260"/>
      <c r="P493" s="211"/>
      <c r="Q493" s="261"/>
      <c r="R493" s="208" t="str">
        <f ca="1">IF(ISERROR($V493),"",OFFSET('Smelter Look-up'!$C$4,$V493-4,0)&amp;"")</f>
        <v/>
      </c>
      <c r="S493" s="215" t="str">
        <f t="shared" ca="1" si="69"/>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si="70"/>
        <v>0</v>
      </c>
      <c r="Y493" s="263"/>
      <c r="Z493" s="263"/>
      <c r="AB493" s="265" t="str">
        <f t="shared" si="71"/>
        <v/>
      </c>
    </row>
    <row r="494" spans="1:28" s="264" customFormat="1" ht="20.399999999999999">
      <c r="A494" s="207"/>
      <c r="B494" s="208"/>
      <c r="C494" s="212"/>
      <c r="D494" s="270"/>
      <c r="E494" s="208"/>
      <c r="F494" s="208"/>
      <c r="G494" s="208"/>
      <c r="H494" s="209"/>
      <c r="I494" s="210"/>
      <c r="J494" s="210"/>
      <c r="K494" s="260"/>
      <c r="L494" s="260"/>
      <c r="M494" s="260"/>
      <c r="N494" s="260"/>
      <c r="O494" s="260"/>
      <c r="P494" s="211"/>
      <c r="Q494" s="261"/>
      <c r="R494" s="208" t="str">
        <f ca="1">IF(ISERROR($V494),"",OFFSET('Smelter Look-up'!$C$4,$V494-4,0)&amp;"")</f>
        <v/>
      </c>
      <c r="S494" s="215" t="str">
        <f t="shared" ca="1" si="69"/>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si="70"/>
        <v>0</v>
      </c>
      <c r="Y494" s="263"/>
      <c r="Z494" s="263"/>
      <c r="AB494" s="265" t="str">
        <f t="shared" si="71"/>
        <v/>
      </c>
    </row>
    <row r="495" spans="1:28" s="264" customFormat="1" ht="20.399999999999999">
      <c r="A495" s="207"/>
      <c r="B495" s="208"/>
      <c r="C495" s="212"/>
      <c r="D495" s="270"/>
      <c r="E495" s="208"/>
      <c r="F495" s="208"/>
      <c r="G495" s="208"/>
      <c r="H495" s="209"/>
      <c r="I495" s="210"/>
      <c r="J495" s="210"/>
      <c r="K495" s="260"/>
      <c r="L495" s="260"/>
      <c r="M495" s="260"/>
      <c r="N495" s="260"/>
      <c r="O495" s="260"/>
      <c r="P495" s="211"/>
      <c r="Q495" s="261"/>
      <c r="R495" s="208" t="str">
        <f ca="1">IF(ISERROR($V495),"",OFFSET('Smelter Look-up'!$C$4,$V495-4,0)&amp;"")</f>
        <v/>
      </c>
      <c r="S495" s="215" t="str">
        <f t="shared" ca="1" si="69"/>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si="70"/>
        <v>0</v>
      </c>
      <c r="Y495" s="263"/>
      <c r="Z495" s="263"/>
      <c r="AB495" s="265" t="str">
        <f t="shared" si="71"/>
        <v/>
      </c>
    </row>
    <row r="496" spans="1:28" s="264" customFormat="1" ht="20.399999999999999">
      <c r="A496" s="207"/>
      <c r="B496" s="208"/>
      <c r="C496" s="212"/>
      <c r="D496" s="270"/>
      <c r="E496" s="208"/>
      <c r="F496" s="208"/>
      <c r="G496" s="208"/>
      <c r="H496" s="209"/>
      <c r="I496" s="210"/>
      <c r="J496" s="210"/>
      <c r="K496" s="260"/>
      <c r="L496" s="260"/>
      <c r="M496" s="260"/>
      <c r="N496" s="260"/>
      <c r="O496" s="260"/>
      <c r="P496" s="211"/>
      <c r="Q496" s="261"/>
      <c r="R496" s="208" t="str">
        <f ca="1">IF(ISERROR($V496),"",OFFSET('Smelter Look-up'!$C$4,$V496-4,0)&amp;"")</f>
        <v/>
      </c>
      <c r="S496" s="215" t="str">
        <f t="shared" ca="1" si="69"/>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si="70"/>
        <v>0</v>
      </c>
      <c r="Y496" s="263"/>
      <c r="Z496" s="263"/>
      <c r="AB496" s="265" t="str">
        <f t="shared" si="71"/>
        <v/>
      </c>
    </row>
    <row r="497" spans="1:28" s="264" customFormat="1" ht="20.399999999999999">
      <c r="A497" s="207"/>
      <c r="B497" s="208"/>
      <c r="C497" s="212"/>
      <c r="D497" s="270"/>
      <c r="E497" s="208"/>
      <c r="F497" s="208"/>
      <c r="G497" s="208"/>
      <c r="H497" s="209"/>
      <c r="I497" s="210"/>
      <c r="J497" s="210"/>
      <c r="K497" s="260"/>
      <c r="L497" s="260"/>
      <c r="M497" s="260"/>
      <c r="N497" s="260"/>
      <c r="O497" s="260"/>
      <c r="P497" s="211"/>
      <c r="Q497" s="261"/>
      <c r="R497" s="208" t="str">
        <f ca="1">IF(ISERROR($V497),"",OFFSET('Smelter Look-up'!$C$4,$V497-4,0)&amp;"")</f>
        <v/>
      </c>
      <c r="S497" s="215" t="str">
        <f t="shared" ca="1" si="69"/>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si="70"/>
        <v>0</v>
      </c>
      <c r="Y497" s="263"/>
      <c r="Z497" s="263"/>
      <c r="AB497" s="265" t="str">
        <f t="shared" si="71"/>
        <v/>
      </c>
    </row>
    <row r="498" spans="1:28" s="264" customFormat="1" ht="20.399999999999999">
      <c r="A498" s="207"/>
      <c r="B498" s="208"/>
      <c r="C498" s="212"/>
      <c r="D498" s="270"/>
      <c r="E498" s="208"/>
      <c r="F498" s="208"/>
      <c r="G498" s="208"/>
      <c r="H498" s="209"/>
      <c r="I498" s="210"/>
      <c r="J498" s="210"/>
      <c r="K498" s="260"/>
      <c r="L498" s="260"/>
      <c r="M498" s="260"/>
      <c r="N498" s="260"/>
      <c r="O498" s="260"/>
      <c r="P498" s="211"/>
      <c r="Q498" s="261"/>
      <c r="R498" s="208" t="str">
        <f ca="1">IF(ISERROR($V498),"",OFFSET('Smelter Look-up'!$C$4,$V498-4,0)&amp;"")</f>
        <v/>
      </c>
      <c r="S498" s="215" t="str">
        <f t="shared" ca="1" si="69"/>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si="70"/>
        <v>0</v>
      </c>
      <c r="Y498" s="263"/>
      <c r="Z498" s="263"/>
      <c r="AB498" s="265" t="str">
        <f t="shared" si="71"/>
        <v/>
      </c>
    </row>
    <row r="499" spans="1:28" s="264" customFormat="1" ht="20.399999999999999">
      <c r="A499" s="207"/>
      <c r="B499" s="208"/>
      <c r="C499" s="212"/>
      <c r="D499" s="270"/>
      <c r="E499" s="208"/>
      <c r="F499" s="208"/>
      <c r="G499" s="208"/>
      <c r="H499" s="209"/>
      <c r="I499" s="210"/>
      <c r="J499" s="210"/>
      <c r="K499" s="260"/>
      <c r="L499" s="260"/>
      <c r="M499" s="260"/>
      <c r="N499" s="260"/>
      <c r="O499" s="260"/>
      <c r="P499" s="211"/>
      <c r="Q499" s="261"/>
      <c r="R499" s="208" t="str">
        <f ca="1">IF(ISERROR($V499),"",OFFSET('Smelter Look-up'!$C$4,$V499-4,0)&amp;"")</f>
        <v/>
      </c>
      <c r="S499" s="215" t="str">
        <f t="shared" ca="1" si="69"/>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si="70"/>
        <v>0</v>
      </c>
      <c r="Y499" s="263"/>
      <c r="Z499" s="263"/>
      <c r="AB499" s="265" t="str">
        <f t="shared" si="71"/>
        <v/>
      </c>
    </row>
    <row r="500" spans="1:28" s="264" customFormat="1" ht="20.399999999999999">
      <c r="A500" s="207"/>
      <c r="B500" s="208"/>
      <c r="C500" s="212"/>
      <c r="D500" s="270"/>
      <c r="E500" s="208"/>
      <c r="F500" s="208"/>
      <c r="G500" s="208"/>
      <c r="H500" s="209"/>
      <c r="I500" s="210"/>
      <c r="J500" s="210"/>
      <c r="K500" s="260"/>
      <c r="L500" s="260"/>
      <c r="M500" s="260"/>
      <c r="N500" s="260"/>
      <c r="O500" s="260"/>
      <c r="P500" s="211"/>
      <c r="Q500" s="261"/>
      <c r="R500" s="208" t="str">
        <f ca="1">IF(ISERROR($V500),"",OFFSET('Smelter Look-up'!$C$4,$V500-4,0)&amp;"")</f>
        <v/>
      </c>
      <c r="S500" s="215" t="str">
        <f t="shared" ca="1" si="69"/>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si="70"/>
        <v>0</v>
      </c>
      <c r="Y500" s="263"/>
      <c r="Z500" s="263"/>
      <c r="AB500" s="265" t="str">
        <f t="shared" si="71"/>
        <v/>
      </c>
    </row>
    <row r="501" spans="1:28" s="264" customFormat="1" ht="20.399999999999999">
      <c r="A501" s="207"/>
      <c r="B501" s="208"/>
      <c r="C501" s="212"/>
      <c r="D501" s="270"/>
      <c r="E501" s="208"/>
      <c r="F501" s="208"/>
      <c r="G501" s="208"/>
      <c r="H501" s="209"/>
      <c r="I501" s="210"/>
      <c r="J501" s="210"/>
      <c r="K501" s="260"/>
      <c r="L501" s="260"/>
      <c r="M501" s="260"/>
      <c r="N501" s="260"/>
      <c r="O501" s="260"/>
      <c r="P501" s="211"/>
      <c r="Q501" s="261"/>
      <c r="R501" s="208" t="str">
        <f ca="1">IF(ISERROR($V501),"",OFFSET('Smelter Look-up'!$C$4,$V501-4,0)&amp;"")</f>
        <v/>
      </c>
      <c r="S501" s="215" t="str">
        <f t="shared" ca="1" si="69"/>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si="70"/>
        <v>0</v>
      </c>
      <c r="Y501" s="263"/>
      <c r="Z501" s="263"/>
      <c r="AB501" s="265" t="str">
        <f t="shared" si="71"/>
        <v/>
      </c>
    </row>
    <row r="502" spans="1:28" s="264" customFormat="1" ht="20.399999999999999">
      <c r="A502" s="207"/>
      <c r="B502" s="208"/>
      <c r="C502" s="212"/>
      <c r="D502" s="270"/>
      <c r="E502" s="208"/>
      <c r="F502" s="208"/>
      <c r="G502" s="208"/>
      <c r="H502" s="209"/>
      <c r="I502" s="210"/>
      <c r="J502" s="210"/>
      <c r="K502" s="260"/>
      <c r="L502" s="260"/>
      <c r="M502" s="260"/>
      <c r="N502" s="260"/>
      <c r="O502" s="260"/>
      <c r="P502" s="211"/>
      <c r="Q502" s="261"/>
      <c r="R502" s="208" t="str">
        <f ca="1">IF(ISERROR($V502),"",OFFSET('Smelter Look-up'!$C$4,$V502-4,0)&amp;"")</f>
        <v/>
      </c>
      <c r="S502" s="215" t="str">
        <f t="shared" ca="1" si="69"/>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si="70"/>
        <v>0</v>
      </c>
      <c r="Y502" s="263"/>
      <c r="Z502" s="263"/>
      <c r="AB502" s="265" t="str">
        <f t="shared" si="71"/>
        <v/>
      </c>
    </row>
    <row r="503" spans="1:28" s="264" customFormat="1" ht="20.399999999999999">
      <c r="A503" s="207"/>
      <c r="B503" s="208"/>
      <c r="C503" s="212"/>
      <c r="D503" s="270"/>
      <c r="E503" s="208"/>
      <c r="F503" s="208"/>
      <c r="G503" s="208"/>
      <c r="H503" s="209"/>
      <c r="I503" s="210"/>
      <c r="J503" s="210"/>
      <c r="K503" s="260"/>
      <c r="L503" s="260"/>
      <c r="M503" s="260"/>
      <c r="N503" s="260"/>
      <c r="O503" s="260"/>
      <c r="P503" s="211"/>
      <c r="Q503" s="261"/>
      <c r="R503" s="208" t="str">
        <f ca="1">IF(ISERROR($V503),"",OFFSET('Smelter Look-up'!$C$4,$V503-4,0)&amp;"")</f>
        <v/>
      </c>
      <c r="S503" s="215" t="str">
        <f t="shared" ca="1" si="69"/>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si="70"/>
        <v>0</v>
      </c>
      <c r="Y503" s="263"/>
      <c r="Z503" s="263"/>
      <c r="AB503" s="265" t="str">
        <f t="shared" si="71"/>
        <v/>
      </c>
    </row>
    <row r="504" spans="1:28" s="264" customFormat="1" ht="20.399999999999999">
      <c r="A504" s="207"/>
      <c r="B504" s="208"/>
      <c r="C504" s="212"/>
      <c r="D504" s="270"/>
      <c r="E504" s="208"/>
      <c r="F504" s="208"/>
      <c r="G504" s="208"/>
      <c r="H504" s="209"/>
      <c r="I504" s="210"/>
      <c r="J504" s="210"/>
      <c r="K504" s="260"/>
      <c r="L504" s="260"/>
      <c r="M504" s="260"/>
      <c r="N504" s="260"/>
      <c r="O504" s="260"/>
      <c r="P504" s="211"/>
      <c r="Q504" s="261"/>
      <c r="R504" s="208" t="str">
        <f ca="1">IF(ISERROR($V504),"",OFFSET('Smelter Look-up'!$C$4,$V504-4,0)&amp;"")</f>
        <v/>
      </c>
      <c r="S504" s="215" t="str">
        <f t="shared" ca="1" si="69"/>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si="70"/>
        <v>0</v>
      </c>
      <c r="Y504" s="263"/>
      <c r="Z504" s="263"/>
      <c r="AB504" s="265" t="str">
        <f t="shared" si="71"/>
        <v/>
      </c>
    </row>
    <row r="505" spans="1:28" s="264" customFormat="1" ht="20.399999999999999">
      <c r="A505" s="207"/>
      <c r="B505" s="208"/>
      <c r="C505" s="212"/>
      <c r="D505" s="270"/>
      <c r="E505" s="208"/>
      <c r="F505" s="208"/>
      <c r="G505" s="208"/>
      <c r="H505" s="209"/>
      <c r="I505" s="210"/>
      <c r="J505" s="210"/>
      <c r="K505" s="260"/>
      <c r="L505" s="260"/>
      <c r="M505" s="260"/>
      <c r="N505" s="260"/>
      <c r="O505" s="260"/>
      <c r="P505" s="211"/>
      <c r="Q505" s="261"/>
      <c r="R505" s="208" t="str">
        <f ca="1">IF(ISERROR($V505),"",OFFSET('Smelter Look-up'!$C$4,$V505-4,0)&amp;"")</f>
        <v/>
      </c>
      <c r="S505" s="215" t="str">
        <f t="shared" ca="1" si="69"/>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si="70"/>
        <v>0</v>
      </c>
      <c r="Y505" s="263"/>
      <c r="Z505" s="263"/>
      <c r="AB505" s="265" t="str">
        <f t="shared" si="71"/>
        <v/>
      </c>
    </row>
    <row r="506" spans="1:28" s="264" customFormat="1" ht="20.399999999999999">
      <c r="A506" s="207"/>
      <c r="B506" s="208"/>
      <c r="C506" s="212"/>
      <c r="D506" s="270"/>
      <c r="E506" s="208"/>
      <c r="F506" s="208"/>
      <c r="G506" s="208"/>
      <c r="H506" s="209"/>
      <c r="I506" s="210"/>
      <c r="J506" s="210"/>
      <c r="K506" s="260"/>
      <c r="L506" s="260"/>
      <c r="M506" s="260"/>
      <c r="N506" s="260"/>
      <c r="O506" s="260"/>
      <c r="P506" s="211"/>
      <c r="Q506" s="261"/>
      <c r="R506" s="208" t="str">
        <f ca="1">IF(ISERROR($V506),"",OFFSET('Smelter Look-up'!$C$4,$V506-4,0)&amp;"")</f>
        <v/>
      </c>
      <c r="S506" s="215" t="str">
        <f t="shared" ca="1" si="69"/>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si="70"/>
        <v>0</v>
      </c>
      <c r="Y506" s="263"/>
      <c r="Z506" s="263"/>
      <c r="AB506" s="265" t="str">
        <f t="shared" si="71"/>
        <v/>
      </c>
    </row>
    <row r="507" spans="1:28" s="264" customFormat="1" ht="20.399999999999999">
      <c r="A507" s="207"/>
      <c r="B507" s="208"/>
      <c r="C507" s="212"/>
      <c r="D507" s="270"/>
      <c r="E507" s="208"/>
      <c r="F507" s="208"/>
      <c r="G507" s="208"/>
      <c r="H507" s="209"/>
      <c r="I507" s="210"/>
      <c r="J507" s="210"/>
      <c r="K507" s="260"/>
      <c r="L507" s="260"/>
      <c r="M507" s="260"/>
      <c r="N507" s="260"/>
      <c r="O507" s="260"/>
      <c r="P507" s="211"/>
      <c r="Q507" s="261"/>
      <c r="R507" s="208" t="str">
        <f ca="1">IF(ISERROR($V507),"",OFFSET('Smelter Look-up'!$C$4,$V507-4,0)&amp;"")</f>
        <v/>
      </c>
      <c r="S507" s="215" t="str">
        <f t="shared" ca="1" si="69"/>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si="70"/>
        <v>0</v>
      </c>
      <c r="Y507" s="263"/>
      <c r="Z507" s="263"/>
      <c r="AB507" s="265" t="str">
        <f t="shared" si="71"/>
        <v/>
      </c>
    </row>
    <row r="508" spans="1:28" s="264" customFormat="1" ht="20.399999999999999">
      <c r="A508" s="207"/>
      <c r="B508" s="208"/>
      <c r="C508" s="212"/>
      <c r="D508" s="270"/>
      <c r="E508" s="208"/>
      <c r="F508" s="208"/>
      <c r="G508" s="208"/>
      <c r="H508" s="209"/>
      <c r="I508" s="210"/>
      <c r="J508" s="210"/>
      <c r="K508" s="260"/>
      <c r="L508" s="260"/>
      <c r="M508" s="260"/>
      <c r="N508" s="260"/>
      <c r="O508" s="260"/>
      <c r="P508" s="211"/>
      <c r="Q508" s="261"/>
      <c r="R508" s="208" t="str">
        <f ca="1">IF(ISERROR($V508),"",OFFSET('Smelter Look-up'!$C$4,$V508-4,0)&amp;"")</f>
        <v/>
      </c>
      <c r="S508" s="215" t="str">
        <f t="shared" ca="1" si="69"/>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si="70"/>
        <v>0</v>
      </c>
      <c r="Y508" s="263"/>
      <c r="Z508" s="263"/>
      <c r="AB508" s="265" t="str">
        <f t="shared" si="71"/>
        <v/>
      </c>
    </row>
    <row r="509" spans="1:28" s="264" customFormat="1" ht="20.399999999999999">
      <c r="A509" s="207"/>
      <c r="B509" s="208"/>
      <c r="C509" s="212"/>
      <c r="D509" s="270"/>
      <c r="E509" s="208"/>
      <c r="F509" s="208"/>
      <c r="G509" s="208"/>
      <c r="H509" s="209"/>
      <c r="I509" s="210"/>
      <c r="J509" s="210"/>
      <c r="K509" s="260"/>
      <c r="L509" s="260"/>
      <c r="M509" s="260"/>
      <c r="N509" s="260"/>
      <c r="O509" s="260"/>
      <c r="P509" s="211"/>
      <c r="Q509" s="261"/>
      <c r="R509" s="208" t="str">
        <f ca="1">IF(ISERROR($V509),"",OFFSET('Smelter Look-up'!$C$4,$V509-4,0)&amp;"")</f>
        <v/>
      </c>
      <c r="S509" s="215" t="str">
        <f t="shared" ca="1" si="69"/>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si="70"/>
        <v>0</v>
      </c>
      <c r="Y509" s="263"/>
      <c r="Z509" s="263"/>
      <c r="AB509" s="265" t="str">
        <f t="shared" si="71"/>
        <v/>
      </c>
    </row>
    <row r="510" spans="1:28" s="264" customFormat="1" ht="20.399999999999999">
      <c r="A510" s="207"/>
      <c r="B510" s="208"/>
      <c r="C510" s="212"/>
      <c r="D510" s="270"/>
      <c r="E510" s="208"/>
      <c r="F510" s="208"/>
      <c r="G510" s="208"/>
      <c r="H510" s="209"/>
      <c r="I510" s="210"/>
      <c r="J510" s="210"/>
      <c r="K510" s="260"/>
      <c r="L510" s="260"/>
      <c r="M510" s="260"/>
      <c r="N510" s="260"/>
      <c r="O510" s="260"/>
      <c r="P510" s="211"/>
      <c r="Q510" s="261"/>
      <c r="R510" s="208" t="str">
        <f ca="1">IF(ISERROR($V510),"",OFFSET('Smelter Look-up'!$C$4,$V510-4,0)&amp;"")</f>
        <v/>
      </c>
      <c r="S510" s="215" t="str">
        <f t="shared" ca="1" si="69"/>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si="70"/>
        <v>0</v>
      </c>
      <c r="Y510" s="263"/>
      <c r="Z510" s="263"/>
      <c r="AB510" s="265" t="str">
        <f t="shared" si="71"/>
        <v/>
      </c>
    </row>
    <row r="511" spans="1:28" s="264" customFormat="1" ht="20.399999999999999">
      <c r="A511" s="207"/>
      <c r="B511" s="208"/>
      <c r="C511" s="212"/>
      <c r="D511" s="270"/>
      <c r="E511" s="208"/>
      <c r="F511" s="208"/>
      <c r="G511" s="208"/>
      <c r="H511" s="209"/>
      <c r="I511" s="210"/>
      <c r="J511" s="210"/>
      <c r="K511" s="260"/>
      <c r="L511" s="260"/>
      <c r="M511" s="260"/>
      <c r="N511" s="260"/>
      <c r="O511" s="260"/>
      <c r="P511" s="211"/>
      <c r="Q511" s="261"/>
      <c r="R511" s="208" t="str">
        <f ca="1">IF(ISERROR($V511),"",OFFSET('Smelter Look-up'!$C$4,$V511-4,0)&amp;"")</f>
        <v/>
      </c>
      <c r="S511" s="215" t="str">
        <f t="shared" ca="1" si="69"/>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si="70"/>
        <v>0</v>
      </c>
      <c r="Y511" s="263"/>
      <c r="Z511" s="263"/>
      <c r="AB511" s="265" t="str">
        <f t="shared" si="71"/>
        <v/>
      </c>
    </row>
    <row r="512" spans="1:28" s="264" customFormat="1" ht="20.399999999999999">
      <c r="A512" s="207"/>
      <c r="B512" s="208"/>
      <c r="C512" s="212"/>
      <c r="D512" s="270"/>
      <c r="E512" s="208"/>
      <c r="F512" s="208"/>
      <c r="G512" s="208"/>
      <c r="H512" s="209"/>
      <c r="I512" s="210"/>
      <c r="J512" s="210"/>
      <c r="K512" s="260"/>
      <c r="L512" s="260"/>
      <c r="M512" s="260"/>
      <c r="N512" s="260"/>
      <c r="O512" s="260"/>
      <c r="P512" s="211"/>
      <c r="Q512" s="261"/>
      <c r="R512" s="208" t="str">
        <f ca="1">IF(ISERROR($V512),"",OFFSET('Smelter Look-up'!$C$4,$V512-4,0)&amp;"")</f>
        <v/>
      </c>
      <c r="S512" s="215" t="str">
        <f t="shared" ca="1" si="69"/>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si="70"/>
        <v>0</v>
      </c>
      <c r="Y512" s="263"/>
      <c r="Z512" s="263"/>
      <c r="AB512" s="265" t="str">
        <f t="shared" si="71"/>
        <v/>
      </c>
    </row>
    <row r="513" spans="1:28" s="264" customFormat="1" ht="20.399999999999999">
      <c r="A513" s="207"/>
      <c r="B513" s="208"/>
      <c r="C513" s="212"/>
      <c r="D513" s="270"/>
      <c r="E513" s="208"/>
      <c r="F513" s="208"/>
      <c r="G513" s="208"/>
      <c r="H513" s="209"/>
      <c r="I513" s="210"/>
      <c r="J513" s="210"/>
      <c r="K513" s="260"/>
      <c r="L513" s="260"/>
      <c r="M513" s="260"/>
      <c r="N513" s="260"/>
      <c r="O513" s="260"/>
      <c r="P513" s="211"/>
      <c r="Q513" s="261"/>
      <c r="R513" s="208" t="str">
        <f ca="1">IF(ISERROR($V513),"",OFFSET('Smelter Look-up'!$C$4,$V513-4,0)&amp;"")</f>
        <v/>
      </c>
      <c r="S513" s="215" t="str">
        <f t="shared" ca="1" si="69"/>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si="70"/>
        <v>0</v>
      </c>
      <c r="Y513" s="263"/>
      <c r="Z513" s="263"/>
      <c r="AB513" s="265" t="str">
        <f t="shared" si="71"/>
        <v/>
      </c>
    </row>
    <row r="514" spans="1:28" s="264" customFormat="1" ht="20.399999999999999">
      <c r="A514" s="207"/>
      <c r="B514" s="208"/>
      <c r="C514" s="212"/>
      <c r="D514" s="270"/>
      <c r="E514" s="208"/>
      <c r="F514" s="208"/>
      <c r="G514" s="208"/>
      <c r="H514" s="209"/>
      <c r="I514" s="210"/>
      <c r="J514" s="210"/>
      <c r="K514" s="260"/>
      <c r="L514" s="260"/>
      <c r="M514" s="260"/>
      <c r="N514" s="260"/>
      <c r="O514" s="260"/>
      <c r="P514" s="211"/>
      <c r="Q514" s="261"/>
      <c r="R514" s="208" t="str">
        <f ca="1">IF(ISERROR($V514),"",OFFSET('Smelter Look-up'!$C$4,$V514-4,0)&amp;"")</f>
        <v/>
      </c>
      <c r="S514" s="215" t="str">
        <f t="shared" ca="1" si="69"/>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si="70"/>
        <v>0</v>
      </c>
      <c r="Y514" s="263"/>
      <c r="Z514" s="263"/>
      <c r="AB514" s="265" t="str">
        <f t="shared" si="71"/>
        <v/>
      </c>
    </row>
    <row r="515" spans="1:28" s="264" customFormat="1" ht="20.399999999999999">
      <c r="A515" s="207"/>
      <c r="B515" s="208"/>
      <c r="C515" s="212"/>
      <c r="D515" s="270"/>
      <c r="E515" s="208"/>
      <c r="F515" s="208"/>
      <c r="G515" s="208"/>
      <c r="H515" s="209"/>
      <c r="I515" s="210"/>
      <c r="J515" s="210"/>
      <c r="K515" s="260"/>
      <c r="L515" s="260"/>
      <c r="M515" s="260"/>
      <c r="N515" s="260"/>
      <c r="O515" s="260"/>
      <c r="P515" s="211"/>
      <c r="Q515" s="261"/>
      <c r="R515" s="208" t="str">
        <f ca="1">IF(ISERROR($V515),"",OFFSET('Smelter Look-up'!$C$4,$V515-4,0)&amp;"")</f>
        <v/>
      </c>
      <c r="S515" s="215" t="str">
        <f t="shared" ca="1" si="69"/>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si="70"/>
        <v>0</v>
      </c>
      <c r="Y515" s="263"/>
      <c r="Z515" s="263"/>
      <c r="AB515" s="265" t="str">
        <f t="shared" si="71"/>
        <v/>
      </c>
    </row>
    <row r="516" spans="1:28" s="264" customFormat="1" ht="20.399999999999999">
      <c r="A516" s="207"/>
      <c r="B516" s="208"/>
      <c r="C516" s="212"/>
      <c r="D516" s="270"/>
      <c r="E516" s="208"/>
      <c r="F516" s="208"/>
      <c r="G516" s="208"/>
      <c r="H516" s="209"/>
      <c r="I516" s="210"/>
      <c r="J516" s="210"/>
      <c r="K516" s="260"/>
      <c r="L516" s="260"/>
      <c r="M516" s="260"/>
      <c r="N516" s="260"/>
      <c r="O516" s="260"/>
      <c r="P516" s="211"/>
      <c r="Q516" s="261"/>
      <c r="R516" s="208" t="str">
        <f ca="1">IF(ISERROR($V516),"",OFFSET('Smelter Look-up'!$C$4,$V516-4,0)&amp;"")</f>
        <v/>
      </c>
      <c r="S516" s="215" t="str">
        <f t="shared" ca="1" si="69"/>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si="70"/>
        <v>0</v>
      </c>
      <c r="Y516" s="263"/>
      <c r="Z516" s="263"/>
      <c r="AB516" s="265" t="str">
        <f t="shared" si="71"/>
        <v/>
      </c>
    </row>
    <row r="517" spans="1:28" s="264" customFormat="1" ht="20.399999999999999">
      <c r="A517" s="207"/>
      <c r="B517" s="208"/>
      <c r="C517" s="212"/>
      <c r="D517" s="270"/>
      <c r="E517" s="208"/>
      <c r="F517" s="208"/>
      <c r="G517" s="208"/>
      <c r="H517" s="209"/>
      <c r="I517" s="210"/>
      <c r="J517" s="210"/>
      <c r="K517" s="260"/>
      <c r="L517" s="260"/>
      <c r="M517" s="260"/>
      <c r="N517" s="260"/>
      <c r="O517" s="260"/>
      <c r="P517" s="211"/>
      <c r="Q517" s="261"/>
      <c r="R517" s="208" t="str">
        <f ca="1">IF(ISERROR($V517),"",OFFSET('Smelter Look-up'!$C$4,$V517-4,0)&amp;"")</f>
        <v/>
      </c>
      <c r="S517" s="215" t="str">
        <f t="shared" ref="S517" ca="1" si="72">IF(B517="","",IF(ISERROR(MATCH($E517,CL,0)),"Unknown",INDIRECT("'C'!$A$"&amp;MATCH($E517,CL,0)+1)))</f>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t="shared" ref="X517" si="73">IF(AND(C517="Smelter not listed",OR(LEN(D517)=0,LEN(E517)=0)),1,0)</f>
        <v>0</v>
      </c>
      <c r="Y517" s="263"/>
      <c r="Z517" s="263"/>
      <c r="AB517" s="265" t="str">
        <f t="shared" ref="AB517" si="74">B517&amp;C517</f>
        <v/>
      </c>
    </row>
    <row r="518" spans="1:28" s="264" customFormat="1" ht="20.399999999999999">
      <c r="A518" s="207"/>
      <c r="B518" s="208"/>
      <c r="C518" s="212"/>
      <c r="D518" s="270"/>
      <c r="E518" s="208"/>
      <c r="F518" s="208"/>
      <c r="G518" s="208"/>
      <c r="H518" s="209"/>
      <c r="I518" s="210"/>
      <c r="J518" s="210"/>
      <c r="K518" s="260"/>
      <c r="L518" s="260"/>
      <c r="M518" s="260"/>
      <c r="N518" s="260"/>
      <c r="O518" s="260"/>
      <c r="P518" s="211"/>
      <c r="Q518" s="261"/>
      <c r="R518" s="208" t="str">
        <f ca="1">IF(ISERROR($V518),"",OFFSET('Smelter Look-up'!$C$4,$V518-4,0)&amp;"")</f>
        <v/>
      </c>
      <c r="S518" s="215" t="str">
        <f t="shared" ref="S518:S549" ca="1" si="75">IF(B518="","",IF(ISERROR(MATCH($E518,CL,0)),"Unknown",INDIRECT("'C'!$A$"&amp;MATCH($E518,CL,0)+1)))</f>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ref="X518:X549" si="76">IF(AND(C518="Smelter not listed",OR(LEN(D518)=0,LEN(E518)=0)),1,0)</f>
        <v>0</v>
      </c>
      <c r="Y518" s="263"/>
      <c r="Z518" s="263"/>
      <c r="AB518" s="265" t="str">
        <f t="shared" ref="AB518:AB549" si="77">B518&amp;C518</f>
        <v/>
      </c>
    </row>
    <row r="519" spans="1:28" s="264" customFormat="1" ht="20.399999999999999">
      <c r="A519" s="207"/>
      <c r="B519" s="208"/>
      <c r="C519" s="212"/>
      <c r="D519" s="270"/>
      <c r="E519" s="208"/>
      <c r="F519" s="208"/>
      <c r="G519" s="208"/>
      <c r="H519" s="209"/>
      <c r="I519" s="210"/>
      <c r="J519" s="210"/>
      <c r="K519" s="260"/>
      <c r="L519" s="260"/>
      <c r="M519" s="260"/>
      <c r="N519" s="260"/>
      <c r="O519" s="260"/>
      <c r="P519" s="211"/>
      <c r="Q519" s="261"/>
      <c r="R519" s="208" t="str">
        <f ca="1">IF(ISERROR($V519),"",OFFSET('Smelter Look-up'!$C$4,$V519-4,0)&amp;"")</f>
        <v/>
      </c>
      <c r="S519" s="215" t="str">
        <f t="shared" ca="1" si="75"/>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si="76"/>
        <v>0</v>
      </c>
      <c r="Y519" s="263"/>
      <c r="Z519" s="263"/>
      <c r="AB519" s="265" t="str">
        <f t="shared" si="77"/>
        <v/>
      </c>
    </row>
    <row r="520" spans="1:28" s="264" customFormat="1" ht="20.399999999999999">
      <c r="A520" s="207"/>
      <c r="B520" s="208"/>
      <c r="C520" s="212"/>
      <c r="D520" s="270"/>
      <c r="E520" s="208"/>
      <c r="F520" s="208"/>
      <c r="G520" s="208"/>
      <c r="H520" s="209"/>
      <c r="I520" s="210"/>
      <c r="J520" s="210"/>
      <c r="K520" s="260"/>
      <c r="L520" s="260"/>
      <c r="M520" s="260"/>
      <c r="N520" s="260"/>
      <c r="O520" s="260"/>
      <c r="P520" s="211"/>
      <c r="Q520" s="261"/>
      <c r="R520" s="208" t="str">
        <f ca="1">IF(ISERROR($V520),"",OFFSET('Smelter Look-up'!$C$4,$V520-4,0)&amp;"")</f>
        <v/>
      </c>
      <c r="S520" s="215" t="str">
        <f t="shared" ca="1" si="75"/>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si="76"/>
        <v>0</v>
      </c>
      <c r="Y520" s="263"/>
      <c r="Z520" s="263"/>
      <c r="AB520" s="265" t="str">
        <f t="shared" si="77"/>
        <v/>
      </c>
    </row>
    <row r="521" spans="1:28" s="264" customFormat="1" ht="20.399999999999999">
      <c r="A521" s="207"/>
      <c r="B521" s="208"/>
      <c r="C521" s="212"/>
      <c r="D521" s="270"/>
      <c r="E521" s="208"/>
      <c r="F521" s="208"/>
      <c r="G521" s="208"/>
      <c r="H521" s="209"/>
      <c r="I521" s="210"/>
      <c r="J521" s="210"/>
      <c r="K521" s="260"/>
      <c r="L521" s="260"/>
      <c r="M521" s="260"/>
      <c r="N521" s="260"/>
      <c r="O521" s="260"/>
      <c r="P521" s="211"/>
      <c r="Q521" s="261"/>
      <c r="R521" s="208" t="str">
        <f ca="1">IF(ISERROR($V521),"",OFFSET('Smelter Look-up'!$C$4,$V521-4,0)&amp;"")</f>
        <v/>
      </c>
      <c r="S521" s="215" t="str">
        <f t="shared" ca="1" si="75"/>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si="76"/>
        <v>0</v>
      </c>
      <c r="Y521" s="263"/>
      <c r="Z521" s="263"/>
      <c r="AB521" s="265" t="str">
        <f t="shared" si="77"/>
        <v/>
      </c>
    </row>
    <row r="522" spans="1:28" s="264" customFormat="1" ht="20.399999999999999">
      <c r="A522" s="207"/>
      <c r="B522" s="208"/>
      <c r="C522" s="212"/>
      <c r="D522" s="270"/>
      <c r="E522" s="208"/>
      <c r="F522" s="208"/>
      <c r="G522" s="208"/>
      <c r="H522" s="209"/>
      <c r="I522" s="210"/>
      <c r="J522" s="210"/>
      <c r="K522" s="260"/>
      <c r="L522" s="260"/>
      <c r="M522" s="260"/>
      <c r="N522" s="260"/>
      <c r="O522" s="260"/>
      <c r="P522" s="211"/>
      <c r="Q522" s="261"/>
      <c r="R522" s="208" t="str">
        <f ca="1">IF(ISERROR($V522),"",OFFSET('Smelter Look-up'!$C$4,$V522-4,0)&amp;"")</f>
        <v/>
      </c>
      <c r="S522" s="215" t="str">
        <f t="shared" ca="1" si="75"/>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si="76"/>
        <v>0</v>
      </c>
      <c r="Y522" s="263"/>
      <c r="Z522" s="263"/>
      <c r="AB522" s="265" t="str">
        <f t="shared" si="77"/>
        <v/>
      </c>
    </row>
    <row r="523" spans="1:28" s="264" customFormat="1" ht="20.399999999999999">
      <c r="A523" s="207"/>
      <c r="B523" s="208"/>
      <c r="C523" s="212"/>
      <c r="D523" s="270"/>
      <c r="E523" s="208"/>
      <c r="F523" s="208"/>
      <c r="G523" s="208"/>
      <c r="H523" s="209"/>
      <c r="I523" s="210"/>
      <c r="J523" s="210"/>
      <c r="K523" s="260"/>
      <c r="L523" s="260"/>
      <c r="M523" s="260"/>
      <c r="N523" s="260"/>
      <c r="O523" s="260"/>
      <c r="P523" s="211"/>
      <c r="Q523" s="261"/>
      <c r="R523" s="208" t="str">
        <f ca="1">IF(ISERROR($V523),"",OFFSET('Smelter Look-up'!$C$4,$V523-4,0)&amp;"")</f>
        <v/>
      </c>
      <c r="S523" s="215" t="str">
        <f t="shared" ca="1" si="75"/>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si="76"/>
        <v>0</v>
      </c>
      <c r="Y523" s="263"/>
      <c r="Z523" s="263"/>
      <c r="AB523" s="265" t="str">
        <f t="shared" si="77"/>
        <v/>
      </c>
    </row>
    <row r="524" spans="1:28" s="264" customFormat="1" ht="20.399999999999999">
      <c r="A524" s="207"/>
      <c r="B524" s="208"/>
      <c r="C524" s="212"/>
      <c r="D524" s="270"/>
      <c r="E524" s="208"/>
      <c r="F524" s="208"/>
      <c r="G524" s="208"/>
      <c r="H524" s="209"/>
      <c r="I524" s="210"/>
      <c r="J524" s="210"/>
      <c r="K524" s="260"/>
      <c r="L524" s="260"/>
      <c r="M524" s="260"/>
      <c r="N524" s="260"/>
      <c r="O524" s="260"/>
      <c r="P524" s="211"/>
      <c r="Q524" s="261"/>
      <c r="R524" s="208" t="str">
        <f ca="1">IF(ISERROR($V524),"",OFFSET('Smelter Look-up'!$C$4,$V524-4,0)&amp;"")</f>
        <v/>
      </c>
      <c r="S524" s="215" t="str">
        <f t="shared" ca="1" si="75"/>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si="76"/>
        <v>0</v>
      </c>
      <c r="Y524" s="263"/>
      <c r="Z524" s="263"/>
      <c r="AB524" s="265" t="str">
        <f t="shared" si="77"/>
        <v/>
      </c>
    </row>
    <row r="525" spans="1:28" s="264" customFormat="1" ht="20.399999999999999">
      <c r="A525" s="207"/>
      <c r="B525" s="208"/>
      <c r="C525" s="212"/>
      <c r="D525" s="270"/>
      <c r="E525" s="208"/>
      <c r="F525" s="208"/>
      <c r="G525" s="208"/>
      <c r="H525" s="209"/>
      <c r="I525" s="210"/>
      <c r="J525" s="210"/>
      <c r="K525" s="260"/>
      <c r="L525" s="260"/>
      <c r="M525" s="260"/>
      <c r="N525" s="260"/>
      <c r="O525" s="260"/>
      <c r="P525" s="211"/>
      <c r="Q525" s="261"/>
      <c r="R525" s="208" t="str">
        <f ca="1">IF(ISERROR($V525),"",OFFSET('Smelter Look-up'!$C$4,$V525-4,0)&amp;"")</f>
        <v/>
      </c>
      <c r="S525" s="215" t="str">
        <f t="shared" ca="1" si="75"/>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si="76"/>
        <v>0</v>
      </c>
      <c r="Y525" s="263"/>
      <c r="Z525" s="263"/>
      <c r="AB525" s="265" t="str">
        <f t="shared" si="77"/>
        <v/>
      </c>
    </row>
    <row r="526" spans="1:28" s="264" customFormat="1" ht="20.399999999999999">
      <c r="A526" s="207"/>
      <c r="B526" s="208"/>
      <c r="C526" s="212"/>
      <c r="D526" s="270"/>
      <c r="E526" s="208"/>
      <c r="F526" s="208"/>
      <c r="G526" s="208"/>
      <c r="H526" s="209"/>
      <c r="I526" s="210"/>
      <c r="J526" s="210"/>
      <c r="K526" s="260"/>
      <c r="L526" s="260"/>
      <c r="M526" s="260"/>
      <c r="N526" s="260"/>
      <c r="O526" s="260"/>
      <c r="P526" s="211"/>
      <c r="Q526" s="261"/>
      <c r="R526" s="208" t="str">
        <f ca="1">IF(ISERROR($V526),"",OFFSET('Smelter Look-up'!$C$4,$V526-4,0)&amp;"")</f>
        <v/>
      </c>
      <c r="S526" s="215" t="str">
        <f t="shared" ca="1" si="75"/>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si="76"/>
        <v>0</v>
      </c>
      <c r="Y526" s="263"/>
      <c r="Z526" s="263"/>
      <c r="AB526" s="265" t="str">
        <f t="shared" si="77"/>
        <v/>
      </c>
    </row>
    <row r="527" spans="1:28" s="264" customFormat="1" ht="20.399999999999999">
      <c r="A527" s="207"/>
      <c r="B527" s="208"/>
      <c r="C527" s="212"/>
      <c r="D527" s="270"/>
      <c r="E527" s="208"/>
      <c r="F527" s="208"/>
      <c r="G527" s="208"/>
      <c r="H527" s="209"/>
      <c r="I527" s="210"/>
      <c r="J527" s="210"/>
      <c r="K527" s="260"/>
      <c r="L527" s="260"/>
      <c r="M527" s="260"/>
      <c r="N527" s="260"/>
      <c r="O527" s="260"/>
      <c r="P527" s="211"/>
      <c r="Q527" s="261"/>
      <c r="R527" s="208" t="str">
        <f ca="1">IF(ISERROR($V527),"",OFFSET('Smelter Look-up'!$C$4,$V527-4,0)&amp;"")</f>
        <v/>
      </c>
      <c r="S527" s="215" t="str">
        <f t="shared" ca="1" si="75"/>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si="76"/>
        <v>0</v>
      </c>
      <c r="Y527" s="263"/>
      <c r="Z527" s="263"/>
      <c r="AB527" s="265" t="str">
        <f t="shared" si="77"/>
        <v/>
      </c>
    </row>
    <row r="528" spans="1:28" s="264" customFormat="1" ht="20.399999999999999">
      <c r="A528" s="207"/>
      <c r="B528" s="208"/>
      <c r="C528" s="212"/>
      <c r="D528" s="270"/>
      <c r="E528" s="208"/>
      <c r="F528" s="208"/>
      <c r="G528" s="208"/>
      <c r="H528" s="209"/>
      <c r="I528" s="210"/>
      <c r="J528" s="210"/>
      <c r="K528" s="260"/>
      <c r="L528" s="260"/>
      <c r="M528" s="260"/>
      <c r="N528" s="260"/>
      <c r="O528" s="260"/>
      <c r="P528" s="211"/>
      <c r="Q528" s="261"/>
      <c r="R528" s="208" t="str">
        <f ca="1">IF(ISERROR($V528),"",OFFSET('Smelter Look-up'!$C$4,$V528-4,0)&amp;"")</f>
        <v/>
      </c>
      <c r="S528" s="215" t="str">
        <f t="shared" ca="1" si="75"/>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si="76"/>
        <v>0</v>
      </c>
      <c r="Y528" s="263"/>
      <c r="Z528" s="263"/>
      <c r="AB528" s="265" t="str">
        <f t="shared" si="77"/>
        <v/>
      </c>
    </row>
    <row r="529" spans="1:28" s="264" customFormat="1" ht="20.399999999999999">
      <c r="A529" s="207"/>
      <c r="B529" s="208"/>
      <c r="C529" s="212"/>
      <c r="D529" s="270"/>
      <c r="E529" s="208"/>
      <c r="F529" s="208"/>
      <c r="G529" s="208"/>
      <c r="H529" s="209"/>
      <c r="I529" s="210"/>
      <c r="J529" s="210"/>
      <c r="K529" s="260"/>
      <c r="L529" s="260"/>
      <c r="M529" s="260"/>
      <c r="N529" s="260"/>
      <c r="O529" s="260"/>
      <c r="P529" s="211"/>
      <c r="Q529" s="261"/>
      <c r="R529" s="208" t="str">
        <f ca="1">IF(ISERROR($V529),"",OFFSET('Smelter Look-up'!$C$4,$V529-4,0)&amp;"")</f>
        <v/>
      </c>
      <c r="S529" s="215" t="str">
        <f t="shared" ca="1" si="75"/>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si="76"/>
        <v>0</v>
      </c>
      <c r="Y529" s="263"/>
      <c r="Z529" s="263"/>
      <c r="AB529" s="265" t="str">
        <f t="shared" si="77"/>
        <v/>
      </c>
    </row>
    <row r="530" spans="1:28" s="264" customFormat="1" ht="20.399999999999999">
      <c r="A530" s="207"/>
      <c r="B530" s="208"/>
      <c r="C530" s="212"/>
      <c r="D530" s="270"/>
      <c r="E530" s="208"/>
      <c r="F530" s="208"/>
      <c r="G530" s="208"/>
      <c r="H530" s="209"/>
      <c r="I530" s="210"/>
      <c r="J530" s="210"/>
      <c r="K530" s="260"/>
      <c r="L530" s="260"/>
      <c r="M530" s="260"/>
      <c r="N530" s="260"/>
      <c r="O530" s="260"/>
      <c r="P530" s="211"/>
      <c r="Q530" s="261"/>
      <c r="R530" s="208" t="str">
        <f ca="1">IF(ISERROR($V530),"",OFFSET('Smelter Look-up'!$C$4,$V530-4,0)&amp;"")</f>
        <v/>
      </c>
      <c r="S530" s="215" t="str">
        <f t="shared" ca="1" si="75"/>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si="76"/>
        <v>0</v>
      </c>
      <c r="Y530" s="263"/>
      <c r="Z530" s="263"/>
      <c r="AB530" s="265" t="str">
        <f t="shared" si="77"/>
        <v/>
      </c>
    </row>
    <row r="531" spans="1:28" s="264" customFormat="1" ht="20.399999999999999">
      <c r="A531" s="207"/>
      <c r="B531" s="208"/>
      <c r="C531" s="212"/>
      <c r="D531" s="270"/>
      <c r="E531" s="208"/>
      <c r="F531" s="208"/>
      <c r="G531" s="208"/>
      <c r="H531" s="209"/>
      <c r="I531" s="210"/>
      <c r="J531" s="210"/>
      <c r="K531" s="260"/>
      <c r="L531" s="260"/>
      <c r="M531" s="260"/>
      <c r="N531" s="260"/>
      <c r="O531" s="260"/>
      <c r="P531" s="211"/>
      <c r="Q531" s="261"/>
      <c r="R531" s="208" t="str">
        <f ca="1">IF(ISERROR($V531),"",OFFSET('Smelter Look-up'!$C$4,$V531-4,0)&amp;"")</f>
        <v/>
      </c>
      <c r="S531" s="215" t="str">
        <f t="shared" ca="1" si="75"/>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si="76"/>
        <v>0</v>
      </c>
      <c r="Y531" s="263"/>
      <c r="Z531" s="263"/>
      <c r="AB531" s="265" t="str">
        <f t="shared" si="77"/>
        <v/>
      </c>
    </row>
    <row r="532" spans="1:28" s="264" customFormat="1" ht="20.399999999999999">
      <c r="A532" s="207"/>
      <c r="B532" s="208"/>
      <c r="C532" s="212"/>
      <c r="D532" s="270"/>
      <c r="E532" s="208"/>
      <c r="F532" s="208"/>
      <c r="G532" s="208"/>
      <c r="H532" s="209"/>
      <c r="I532" s="210"/>
      <c r="J532" s="210"/>
      <c r="K532" s="260"/>
      <c r="L532" s="260"/>
      <c r="M532" s="260"/>
      <c r="N532" s="260"/>
      <c r="O532" s="260"/>
      <c r="P532" s="211"/>
      <c r="Q532" s="261"/>
      <c r="R532" s="208" t="str">
        <f ca="1">IF(ISERROR($V532),"",OFFSET('Smelter Look-up'!$C$4,$V532-4,0)&amp;"")</f>
        <v/>
      </c>
      <c r="S532" s="215" t="str">
        <f t="shared" ca="1" si="75"/>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si="76"/>
        <v>0</v>
      </c>
      <c r="Y532" s="263"/>
      <c r="Z532" s="263"/>
      <c r="AB532" s="265" t="str">
        <f t="shared" si="77"/>
        <v/>
      </c>
    </row>
    <row r="533" spans="1:28" s="264" customFormat="1" ht="20.399999999999999">
      <c r="A533" s="207"/>
      <c r="B533" s="208"/>
      <c r="C533" s="212"/>
      <c r="D533" s="270"/>
      <c r="E533" s="208"/>
      <c r="F533" s="208"/>
      <c r="G533" s="208"/>
      <c r="H533" s="209"/>
      <c r="I533" s="210"/>
      <c r="J533" s="210"/>
      <c r="K533" s="260"/>
      <c r="L533" s="260"/>
      <c r="M533" s="260"/>
      <c r="N533" s="260"/>
      <c r="O533" s="260"/>
      <c r="P533" s="211"/>
      <c r="Q533" s="261"/>
      <c r="R533" s="208" t="str">
        <f ca="1">IF(ISERROR($V533),"",OFFSET('Smelter Look-up'!$C$4,$V533-4,0)&amp;"")</f>
        <v/>
      </c>
      <c r="S533" s="215" t="str">
        <f t="shared" ca="1" si="75"/>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si="76"/>
        <v>0</v>
      </c>
      <c r="Y533" s="263"/>
      <c r="Z533" s="263"/>
      <c r="AB533" s="265" t="str">
        <f t="shared" si="77"/>
        <v/>
      </c>
    </row>
    <row r="534" spans="1:28" s="264" customFormat="1" ht="20.399999999999999">
      <c r="A534" s="207"/>
      <c r="B534" s="208"/>
      <c r="C534" s="212"/>
      <c r="D534" s="270"/>
      <c r="E534" s="208"/>
      <c r="F534" s="208"/>
      <c r="G534" s="208"/>
      <c r="H534" s="209"/>
      <c r="I534" s="210"/>
      <c r="J534" s="210"/>
      <c r="K534" s="260"/>
      <c r="L534" s="260"/>
      <c r="M534" s="260"/>
      <c r="N534" s="260"/>
      <c r="O534" s="260"/>
      <c r="P534" s="211"/>
      <c r="Q534" s="261"/>
      <c r="R534" s="208" t="str">
        <f ca="1">IF(ISERROR($V534),"",OFFSET('Smelter Look-up'!$C$4,$V534-4,0)&amp;"")</f>
        <v/>
      </c>
      <c r="S534" s="215" t="str">
        <f t="shared" ca="1" si="75"/>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si="76"/>
        <v>0</v>
      </c>
      <c r="Y534" s="263"/>
      <c r="Z534" s="263"/>
      <c r="AB534" s="265" t="str">
        <f t="shared" si="77"/>
        <v/>
      </c>
    </row>
    <row r="535" spans="1:28" s="264" customFormat="1" ht="20.399999999999999">
      <c r="A535" s="207"/>
      <c r="B535" s="208"/>
      <c r="C535" s="212"/>
      <c r="D535" s="270"/>
      <c r="E535" s="208"/>
      <c r="F535" s="208"/>
      <c r="G535" s="208"/>
      <c r="H535" s="209"/>
      <c r="I535" s="210"/>
      <c r="J535" s="210"/>
      <c r="K535" s="260"/>
      <c r="L535" s="260"/>
      <c r="M535" s="260"/>
      <c r="N535" s="260"/>
      <c r="O535" s="260"/>
      <c r="P535" s="211"/>
      <c r="Q535" s="261"/>
      <c r="R535" s="208" t="str">
        <f ca="1">IF(ISERROR($V535),"",OFFSET('Smelter Look-up'!$C$4,$V535-4,0)&amp;"")</f>
        <v/>
      </c>
      <c r="S535" s="215" t="str">
        <f t="shared" ca="1" si="75"/>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si="76"/>
        <v>0</v>
      </c>
      <c r="Y535" s="263"/>
      <c r="Z535" s="263"/>
      <c r="AB535" s="265" t="str">
        <f t="shared" si="77"/>
        <v/>
      </c>
    </row>
    <row r="536" spans="1:28" s="264" customFormat="1" ht="20.399999999999999">
      <c r="A536" s="207"/>
      <c r="B536" s="208"/>
      <c r="C536" s="212"/>
      <c r="D536" s="270"/>
      <c r="E536" s="208"/>
      <c r="F536" s="208"/>
      <c r="G536" s="208"/>
      <c r="H536" s="209"/>
      <c r="I536" s="210"/>
      <c r="J536" s="210"/>
      <c r="K536" s="260"/>
      <c r="L536" s="260"/>
      <c r="M536" s="260"/>
      <c r="N536" s="260"/>
      <c r="O536" s="260"/>
      <c r="P536" s="211"/>
      <c r="Q536" s="261"/>
      <c r="R536" s="208" t="str">
        <f ca="1">IF(ISERROR($V536),"",OFFSET('Smelter Look-up'!$C$4,$V536-4,0)&amp;"")</f>
        <v/>
      </c>
      <c r="S536" s="215" t="str">
        <f t="shared" ca="1" si="75"/>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si="76"/>
        <v>0</v>
      </c>
      <c r="Y536" s="263"/>
      <c r="Z536" s="263"/>
      <c r="AB536" s="265" t="str">
        <f t="shared" si="77"/>
        <v/>
      </c>
    </row>
    <row r="537" spans="1:28" s="264" customFormat="1" ht="20.399999999999999">
      <c r="A537" s="207"/>
      <c r="B537" s="208"/>
      <c r="C537" s="212"/>
      <c r="D537" s="270"/>
      <c r="E537" s="208"/>
      <c r="F537" s="208"/>
      <c r="G537" s="208"/>
      <c r="H537" s="209"/>
      <c r="I537" s="210"/>
      <c r="J537" s="210"/>
      <c r="K537" s="260"/>
      <c r="L537" s="260"/>
      <c r="M537" s="260"/>
      <c r="N537" s="260"/>
      <c r="O537" s="260"/>
      <c r="P537" s="211"/>
      <c r="Q537" s="261"/>
      <c r="R537" s="208" t="str">
        <f ca="1">IF(ISERROR($V537),"",OFFSET('Smelter Look-up'!$C$4,$V537-4,0)&amp;"")</f>
        <v/>
      </c>
      <c r="S537" s="215" t="str">
        <f t="shared" ca="1" si="75"/>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si="76"/>
        <v>0</v>
      </c>
      <c r="Y537" s="263"/>
      <c r="Z537" s="263"/>
      <c r="AB537" s="265" t="str">
        <f t="shared" si="77"/>
        <v/>
      </c>
    </row>
    <row r="538" spans="1:28" s="264" customFormat="1" ht="20.399999999999999">
      <c r="A538" s="207"/>
      <c r="B538" s="208"/>
      <c r="C538" s="212"/>
      <c r="D538" s="270"/>
      <c r="E538" s="208"/>
      <c r="F538" s="208"/>
      <c r="G538" s="208"/>
      <c r="H538" s="209"/>
      <c r="I538" s="210"/>
      <c r="J538" s="210"/>
      <c r="K538" s="260"/>
      <c r="L538" s="260"/>
      <c r="M538" s="260"/>
      <c r="N538" s="260"/>
      <c r="O538" s="260"/>
      <c r="P538" s="211"/>
      <c r="Q538" s="261"/>
      <c r="R538" s="208" t="str">
        <f ca="1">IF(ISERROR($V538),"",OFFSET('Smelter Look-up'!$C$4,$V538-4,0)&amp;"")</f>
        <v/>
      </c>
      <c r="S538" s="215" t="str">
        <f t="shared" ca="1" si="75"/>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si="76"/>
        <v>0</v>
      </c>
      <c r="Y538" s="263"/>
      <c r="Z538" s="263"/>
      <c r="AB538" s="265" t="str">
        <f t="shared" si="77"/>
        <v/>
      </c>
    </row>
    <row r="539" spans="1:28" s="264" customFormat="1" ht="20.399999999999999">
      <c r="A539" s="207"/>
      <c r="B539" s="208"/>
      <c r="C539" s="212"/>
      <c r="D539" s="270"/>
      <c r="E539" s="208"/>
      <c r="F539" s="208"/>
      <c r="G539" s="208"/>
      <c r="H539" s="209"/>
      <c r="I539" s="210"/>
      <c r="J539" s="210"/>
      <c r="K539" s="260"/>
      <c r="L539" s="260"/>
      <c r="M539" s="260"/>
      <c r="N539" s="260"/>
      <c r="O539" s="260"/>
      <c r="P539" s="211"/>
      <c r="Q539" s="261"/>
      <c r="R539" s="208" t="str">
        <f ca="1">IF(ISERROR($V539),"",OFFSET('Smelter Look-up'!$C$4,$V539-4,0)&amp;"")</f>
        <v/>
      </c>
      <c r="S539" s="215" t="str">
        <f t="shared" ca="1" si="75"/>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si="76"/>
        <v>0</v>
      </c>
      <c r="Y539" s="263"/>
      <c r="Z539" s="263"/>
      <c r="AB539" s="265" t="str">
        <f t="shared" si="77"/>
        <v/>
      </c>
    </row>
    <row r="540" spans="1:28" s="264" customFormat="1" ht="20.399999999999999">
      <c r="A540" s="207"/>
      <c r="B540" s="208"/>
      <c r="C540" s="212"/>
      <c r="D540" s="270"/>
      <c r="E540" s="208"/>
      <c r="F540" s="208"/>
      <c r="G540" s="208"/>
      <c r="H540" s="209"/>
      <c r="I540" s="210"/>
      <c r="J540" s="210"/>
      <c r="K540" s="260"/>
      <c r="L540" s="260"/>
      <c r="M540" s="260"/>
      <c r="N540" s="260"/>
      <c r="O540" s="260"/>
      <c r="P540" s="211"/>
      <c r="Q540" s="261"/>
      <c r="R540" s="208" t="str">
        <f ca="1">IF(ISERROR($V540),"",OFFSET('Smelter Look-up'!$C$4,$V540-4,0)&amp;"")</f>
        <v/>
      </c>
      <c r="S540" s="215" t="str">
        <f t="shared" ca="1" si="75"/>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si="76"/>
        <v>0</v>
      </c>
      <c r="Y540" s="263"/>
      <c r="Z540" s="263"/>
      <c r="AB540" s="265" t="str">
        <f t="shared" si="77"/>
        <v/>
      </c>
    </row>
    <row r="541" spans="1:28" s="264" customFormat="1" ht="20.399999999999999">
      <c r="A541" s="207"/>
      <c r="B541" s="208"/>
      <c r="C541" s="212"/>
      <c r="D541" s="270"/>
      <c r="E541" s="208"/>
      <c r="F541" s="208"/>
      <c r="G541" s="208"/>
      <c r="H541" s="209"/>
      <c r="I541" s="210"/>
      <c r="J541" s="210"/>
      <c r="K541" s="260"/>
      <c r="L541" s="260"/>
      <c r="M541" s="260"/>
      <c r="N541" s="260"/>
      <c r="O541" s="260"/>
      <c r="P541" s="211"/>
      <c r="Q541" s="261"/>
      <c r="R541" s="208" t="str">
        <f ca="1">IF(ISERROR($V541),"",OFFSET('Smelter Look-up'!$C$4,$V541-4,0)&amp;"")</f>
        <v/>
      </c>
      <c r="S541" s="215" t="str">
        <f t="shared" ca="1" si="75"/>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si="76"/>
        <v>0</v>
      </c>
      <c r="Y541" s="263"/>
      <c r="Z541" s="263"/>
      <c r="AB541" s="265" t="str">
        <f t="shared" si="77"/>
        <v/>
      </c>
    </row>
    <row r="542" spans="1:28" s="264" customFormat="1" ht="20.399999999999999">
      <c r="A542" s="207"/>
      <c r="B542" s="208"/>
      <c r="C542" s="212"/>
      <c r="D542" s="270"/>
      <c r="E542" s="208"/>
      <c r="F542" s="208"/>
      <c r="G542" s="208"/>
      <c r="H542" s="209"/>
      <c r="I542" s="210"/>
      <c r="J542" s="210"/>
      <c r="K542" s="260"/>
      <c r="L542" s="260"/>
      <c r="M542" s="260"/>
      <c r="N542" s="260"/>
      <c r="O542" s="260"/>
      <c r="P542" s="211"/>
      <c r="Q542" s="261"/>
      <c r="R542" s="208" t="str">
        <f ca="1">IF(ISERROR($V542),"",OFFSET('Smelter Look-up'!$C$4,$V542-4,0)&amp;"")</f>
        <v/>
      </c>
      <c r="S542" s="215" t="str">
        <f t="shared" ca="1" si="75"/>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si="76"/>
        <v>0</v>
      </c>
      <c r="Y542" s="263"/>
      <c r="Z542" s="263"/>
      <c r="AB542" s="265" t="str">
        <f t="shared" si="77"/>
        <v/>
      </c>
    </row>
    <row r="543" spans="1:28" s="264" customFormat="1" ht="20.399999999999999">
      <c r="A543" s="207"/>
      <c r="B543" s="208"/>
      <c r="C543" s="212"/>
      <c r="D543" s="270"/>
      <c r="E543" s="208"/>
      <c r="F543" s="208"/>
      <c r="G543" s="208"/>
      <c r="H543" s="209"/>
      <c r="I543" s="210"/>
      <c r="J543" s="210"/>
      <c r="K543" s="260"/>
      <c r="L543" s="260"/>
      <c r="M543" s="260"/>
      <c r="N543" s="260"/>
      <c r="O543" s="260"/>
      <c r="P543" s="211"/>
      <c r="Q543" s="261"/>
      <c r="R543" s="208" t="str">
        <f ca="1">IF(ISERROR($V543),"",OFFSET('Smelter Look-up'!$C$4,$V543-4,0)&amp;"")</f>
        <v/>
      </c>
      <c r="S543" s="215" t="str">
        <f t="shared" ca="1" si="75"/>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si="76"/>
        <v>0</v>
      </c>
      <c r="Y543" s="263"/>
      <c r="Z543" s="263"/>
      <c r="AB543" s="265" t="str">
        <f t="shared" si="77"/>
        <v/>
      </c>
    </row>
    <row r="544" spans="1:28" s="264" customFormat="1" ht="20.399999999999999">
      <c r="A544" s="207"/>
      <c r="B544" s="208"/>
      <c r="C544" s="212"/>
      <c r="D544" s="270"/>
      <c r="E544" s="208"/>
      <c r="F544" s="208"/>
      <c r="G544" s="208"/>
      <c r="H544" s="209"/>
      <c r="I544" s="210"/>
      <c r="J544" s="210"/>
      <c r="K544" s="260"/>
      <c r="L544" s="260"/>
      <c r="M544" s="260"/>
      <c r="N544" s="260"/>
      <c r="O544" s="260"/>
      <c r="P544" s="211"/>
      <c r="Q544" s="261"/>
      <c r="R544" s="208" t="str">
        <f ca="1">IF(ISERROR($V544),"",OFFSET('Smelter Look-up'!$C$4,$V544-4,0)&amp;"")</f>
        <v/>
      </c>
      <c r="S544" s="215" t="str">
        <f t="shared" ca="1" si="75"/>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si="76"/>
        <v>0</v>
      </c>
      <c r="Y544" s="263"/>
      <c r="Z544" s="263"/>
      <c r="AB544" s="265" t="str">
        <f t="shared" si="77"/>
        <v/>
      </c>
    </row>
    <row r="545" spans="1:28" s="264" customFormat="1" ht="20.399999999999999">
      <c r="A545" s="207"/>
      <c r="B545" s="208"/>
      <c r="C545" s="212"/>
      <c r="D545" s="270"/>
      <c r="E545" s="208"/>
      <c r="F545" s="208"/>
      <c r="G545" s="208"/>
      <c r="H545" s="209"/>
      <c r="I545" s="210"/>
      <c r="J545" s="210"/>
      <c r="K545" s="260"/>
      <c r="L545" s="260"/>
      <c r="M545" s="260"/>
      <c r="N545" s="260"/>
      <c r="O545" s="260"/>
      <c r="P545" s="211"/>
      <c r="Q545" s="261"/>
      <c r="R545" s="208" t="str">
        <f ca="1">IF(ISERROR($V545),"",OFFSET('Smelter Look-up'!$C$4,$V545-4,0)&amp;"")</f>
        <v/>
      </c>
      <c r="S545" s="215" t="str">
        <f t="shared" ca="1" si="75"/>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si="76"/>
        <v>0</v>
      </c>
      <c r="Y545" s="263"/>
      <c r="Z545" s="263"/>
      <c r="AB545" s="265" t="str">
        <f t="shared" si="77"/>
        <v/>
      </c>
    </row>
    <row r="546" spans="1:28" s="264" customFormat="1" ht="20.399999999999999">
      <c r="A546" s="207"/>
      <c r="B546" s="208"/>
      <c r="C546" s="212"/>
      <c r="D546" s="270"/>
      <c r="E546" s="208"/>
      <c r="F546" s="208"/>
      <c r="G546" s="208"/>
      <c r="H546" s="209"/>
      <c r="I546" s="210"/>
      <c r="J546" s="210"/>
      <c r="K546" s="260"/>
      <c r="L546" s="260"/>
      <c r="M546" s="260"/>
      <c r="N546" s="260"/>
      <c r="O546" s="260"/>
      <c r="P546" s="211"/>
      <c r="Q546" s="261"/>
      <c r="R546" s="208" t="str">
        <f ca="1">IF(ISERROR($V546),"",OFFSET('Smelter Look-up'!$C$4,$V546-4,0)&amp;"")</f>
        <v/>
      </c>
      <c r="S546" s="215" t="str">
        <f t="shared" ca="1" si="75"/>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si="76"/>
        <v>0</v>
      </c>
      <c r="Y546" s="263"/>
      <c r="Z546" s="263"/>
      <c r="AB546" s="265" t="str">
        <f t="shared" si="77"/>
        <v/>
      </c>
    </row>
    <row r="547" spans="1:28" s="264" customFormat="1" ht="20.399999999999999">
      <c r="A547" s="207"/>
      <c r="B547" s="208"/>
      <c r="C547" s="212"/>
      <c r="D547" s="270"/>
      <c r="E547" s="208"/>
      <c r="F547" s="208"/>
      <c r="G547" s="208"/>
      <c r="H547" s="209"/>
      <c r="I547" s="210"/>
      <c r="J547" s="210"/>
      <c r="K547" s="260"/>
      <c r="L547" s="260"/>
      <c r="M547" s="260"/>
      <c r="N547" s="260"/>
      <c r="O547" s="260"/>
      <c r="P547" s="211"/>
      <c r="Q547" s="261"/>
      <c r="R547" s="208" t="str">
        <f ca="1">IF(ISERROR($V547),"",OFFSET('Smelter Look-up'!$C$4,$V547-4,0)&amp;"")</f>
        <v/>
      </c>
      <c r="S547" s="215" t="str">
        <f t="shared" ca="1" si="75"/>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si="76"/>
        <v>0</v>
      </c>
      <c r="Y547" s="263"/>
      <c r="Z547" s="263"/>
      <c r="AB547" s="265" t="str">
        <f t="shared" si="77"/>
        <v/>
      </c>
    </row>
    <row r="548" spans="1:28" s="264" customFormat="1" ht="20.399999999999999">
      <c r="A548" s="207"/>
      <c r="B548" s="208"/>
      <c r="C548" s="212"/>
      <c r="D548" s="270"/>
      <c r="E548" s="208"/>
      <c r="F548" s="208"/>
      <c r="G548" s="208"/>
      <c r="H548" s="209"/>
      <c r="I548" s="210"/>
      <c r="J548" s="210"/>
      <c r="K548" s="260"/>
      <c r="L548" s="260"/>
      <c r="M548" s="260"/>
      <c r="N548" s="260"/>
      <c r="O548" s="260"/>
      <c r="P548" s="211"/>
      <c r="Q548" s="261"/>
      <c r="R548" s="208" t="str">
        <f ca="1">IF(ISERROR($V548),"",OFFSET('Smelter Look-up'!$C$4,$V548-4,0)&amp;"")</f>
        <v/>
      </c>
      <c r="S548" s="215" t="str">
        <f t="shared" ca="1" si="75"/>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si="76"/>
        <v>0</v>
      </c>
      <c r="Y548" s="263"/>
      <c r="Z548" s="263"/>
      <c r="AB548" s="265" t="str">
        <f t="shared" si="77"/>
        <v/>
      </c>
    </row>
    <row r="549" spans="1:28" s="264" customFormat="1" ht="20.399999999999999">
      <c r="A549" s="207"/>
      <c r="B549" s="208"/>
      <c r="C549" s="212"/>
      <c r="D549" s="270"/>
      <c r="E549" s="208"/>
      <c r="F549" s="208"/>
      <c r="G549" s="208"/>
      <c r="H549" s="209"/>
      <c r="I549" s="210"/>
      <c r="J549" s="210"/>
      <c r="K549" s="260"/>
      <c r="L549" s="260"/>
      <c r="M549" s="260"/>
      <c r="N549" s="260"/>
      <c r="O549" s="260"/>
      <c r="P549" s="211"/>
      <c r="Q549" s="261"/>
      <c r="R549" s="208" t="str">
        <f ca="1">IF(ISERROR($V549),"",OFFSET('Smelter Look-up'!$C$4,$V549-4,0)&amp;"")</f>
        <v/>
      </c>
      <c r="S549" s="215" t="str">
        <f t="shared" ca="1" si="75"/>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si="76"/>
        <v>0</v>
      </c>
      <c r="Y549" s="263"/>
      <c r="Z549" s="263"/>
      <c r="AB549" s="265" t="str">
        <f t="shared" si="77"/>
        <v/>
      </c>
    </row>
    <row r="550" spans="1:28" s="264" customFormat="1" ht="20.399999999999999">
      <c r="A550" s="207"/>
      <c r="B550" s="208"/>
      <c r="C550" s="212"/>
      <c r="D550" s="270"/>
      <c r="E550" s="208"/>
      <c r="F550" s="208"/>
      <c r="G550" s="208"/>
      <c r="H550" s="209"/>
      <c r="I550" s="210"/>
      <c r="J550" s="210"/>
      <c r="K550" s="260"/>
      <c r="L550" s="260"/>
      <c r="M550" s="260"/>
      <c r="N550" s="260"/>
      <c r="O550" s="260"/>
      <c r="P550" s="211"/>
      <c r="Q550" s="261"/>
      <c r="R550" s="208" t="str">
        <f ca="1">IF(ISERROR($V550),"",OFFSET('Smelter Look-up'!$C$4,$V550-4,0)&amp;"")</f>
        <v/>
      </c>
      <c r="S550" s="215" t="str">
        <f t="shared" ref="S550:S580" ca="1" si="78">IF(B550="","",IF(ISERROR(MATCH($E550,CL,0)),"Unknown",INDIRECT("'C'!$A$"&amp;MATCH($E550,CL,0)+1)))</f>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ref="X550:X580" si="79">IF(AND(C550="Smelter not listed",OR(LEN(D550)=0,LEN(E550)=0)),1,0)</f>
        <v>0</v>
      </c>
      <c r="Y550" s="263"/>
      <c r="Z550" s="263"/>
      <c r="AB550" s="265" t="str">
        <f t="shared" ref="AB550:AB580" si="80">B550&amp;C550</f>
        <v/>
      </c>
    </row>
    <row r="551" spans="1:28" s="264" customFormat="1" ht="20.399999999999999">
      <c r="A551" s="207"/>
      <c r="B551" s="208"/>
      <c r="C551" s="212"/>
      <c r="D551" s="270"/>
      <c r="E551" s="208"/>
      <c r="F551" s="208"/>
      <c r="G551" s="208"/>
      <c r="H551" s="209"/>
      <c r="I551" s="210"/>
      <c r="J551" s="210"/>
      <c r="K551" s="260"/>
      <c r="L551" s="260"/>
      <c r="M551" s="260"/>
      <c r="N551" s="260"/>
      <c r="O551" s="260"/>
      <c r="P551" s="211"/>
      <c r="Q551" s="261"/>
      <c r="R551" s="208" t="str">
        <f ca="1">IF(ISERROR($V551),"",OFFSET('Smelter Look-up'!$C$4,$V551-4,0)&amp;"")</f>
        <v/>
      </c>
      <c r="S551" s="215" t="str">
        <f t="shared" ca="1" si="78"/>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si="79"/>
        <v>0</v>
      </c>
      <c r="Y551" s="263"/>
      <c r="Z551" s="263"/>
      <c r="AB551" s="265" t="str">
        <f t="shared" si="80"/>
        <v/>
      </c>
    </row>
    <row r="552" spans="1:28" s="264" customFormat="1" ht="20.399999999999999">
      <c r="A552" s="207"/>
      <c r="B552" s="208"/>
      <c r="C552" s="212"/>
      <c r="D552" s="270"/>
      <c r="E552" s="208"/>
      <c r="F552" s="208"/>
      <c r="G552" s="208"/>
      <c r="H552" s="209"/>
      <c r="I552" s="210"/>
      <c r="J552" s="210"/>
      <c r="K552" s="260"/>
      <c r="L552" s="260"/>
      <c r="M552" s="260"/>
      <c r="N552" s="260"/>
      <c r="O552" s="260"/>
      <c r="P552" s="211"/>
      <c r="Q552" s="261"/>
      <c r="R552" s="208" t="str">
        <f ca="1">IF(ISERROR($V552),"",OFFSET('Smelter Look-up'!$C$4,$V552-4,0)&amp;"")</f>
        <v/>
      </c>
      <c r="S552" s="215" t="str">
        <f t="shared" ca="1" si="78"/>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si="79"/>
        <v>0</v>
      </c>
      <c r="Y552" s="263"/>
      <c r="Z552" s="263"/>
      <c r="AB552" s="265" t="str">
        <f t="shared" si="80"/>
        <v/>
      </c>
    </row>
    <row r="553" spans="1:28" s="264" customFormat="1" ht="20.399999999999999">
      <c r="A553" s="207"/>
      <c r="B553" s="208"/>
      <c r="C553" s="212"/>
      <c r="D553" s="270"/>
      <c r="E553" s="208"/>
      <c r="F553" s="208"/>
      <c r="G553" s="208"/>
      <c r="H553" s="209"/>
      <c r="I553" s="210"/>
      <c r="J553" s="210"/>
      <c r="K553" s="260"/>
      <c r="L553" s="260"/>
      <c r="M553" s="260"/>
      <c r="N553" s="260"/>
      <c r="O553" s="260"/>
      <c r="P553" s="211"/>
      <c r="Q553" s="261"/>
      <c r="R553" s="208" t="str">
        <f ca="1">IF(ISERROR($V553),"",OFFSET('Smelter Look-up'!$C$4,$V553-4,0)&amp;"")</f>
        <v/>
      </c>
      <c r="S553" s="215" t="str">
        <f t="shared" ca="1" si="78"/>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si="79"/>
        <v>0</v>
      </c>
      <c r="Y553" s="263"/>
      <c r="Z553" s="263"/>
      <c r="AB553" s="265" t="str">
        <f t="shared" si="80"/>
        <v/>
      </c>
    </row>
    <row r="554" spans="1:28" s="264" customFormat="1" ht="20.399999999999999">
      <c r="A554" s="207"/>
      <c r="B554" s="208"/>
      <c r="C554" s="212"/>
      <c r="D554" s="270"/>
      <c r="E554" s="208"/>
      <c r="F554" s="208"/>
      <c r="G554" s="208"/>
      <c r="H554" s="209"/>
      <c r="I554" s="210"/>
      <c r="J554" s="210"/>
      <c r="K554" s="260"/>
      <c r="L554" s="260"/>
      <c r="M554" s="260"/>
      <c r="N554" s="260"/>
      <c r="O554" s="260"/>
      <c r="P554" s="211"/>
      <c r="Q554" s="261"/>
      <c r="R554" s="208" t="str">
        <f ca="1">IF(ISERROR($V554),"",OFFSET('Smelter Look-up'!$C$4,$V554-4,0)&amp;"")</f>
        <v/>
      </c>
      <c r="S554" s="215" t="str">
        <f t="shared" ca="1" si="78"/>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si="79"/>
        <v>0</v>
      </c>
      <c r="Y554" s="263"/>
      <c r="Z554" s="263"/>
      <c r="AB554" s="265" t="str">
        <f t="shared" si="80"/>
        <v/>
      </c>
    </row>
    <row r="555" spans="1:28" s="264" customFormat="1" ht="20.399999999999999">
      <c r="A555" s="207"/>
      <c r="B555" s="208"/>
      <c r="C555" s="212"/>
      <c r="D555" s="270"/>
      <c r="E555" s="208"/>
      <c r="F555" s="208"/>
      <c r="G555" s="208"/>
      <c r="H555" s="209"/>
      <c r="I555" s="210"/>
      <c r="J555" s="210"/>
      <c r="K555" s="260"/>
      <c r="L555" s="260"/>
      <c r="M555" s="260"/>
      <c r="N555" s="260"/>
      <c r="O555" s="260"/>
      <c r="P555" s="211"/>
      <c r="Q555" s="261"/>
      <c r="R555" s="208" t="str">
        <f ca="1">IF(ISERROR($V555),"",OFFSET('Smelter Look-up'!$C$4,$V555-4,0)&amp;"")</f>
        <v/>
      </c>
      <c r="S555" s="215" t="str">
        <f t="shared" ca="1" si="78"/>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si="79"/>
        <v>0</v>
      </c>
      <c r="Y555" s="263"/>
      <c r="Z555" s="263"/>
      <c r="AB555" s="265" t="str">
        <f t="shared" si="80"/>
        <v/>
      </c>
    </row>
    <row r="556" spans="1:28" s="264" customFormat="1" ht="20.399999999999999">
      <c r="A556" s="207"/>
      <c r="B556" s="208"/>
      <c r="C556" s="212"/>
      <c r="D556" s="270"/>
      <c r="E556" s="208"/>
      <c r="F556" s="208"/>
      <c r="G556" s="208"/>
      <c r="H556" s="209"/>
      <c r="I556" s="210"/>
      <c r="J556" s="210"/>
      <c r="K556" s="260"/>
      <c r="L556" s="260"/>
      <c r="M556" s="260"/>
      <c r="N556" s="260"/>
      <c r="O556" s="260"/>
      <c r="P556" s="211"/>
      <c r="Q556" s="261"/>
      <c r="R556" s="208" t="str">
        <f ca="1">IF(ISERROR($V556),"",OFFSET('Smelter Look-up'!$C$4,$V556-4,0)&amp;"")</f>
        <v/>
      </c>
      <c r="S556" s="215" t="str">
        <f t="shared" ca="1" si="78"/>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si="79"/>
        <v>0</v>
      </c>
      <c r="Y556" s="263"/>
      <c r="Z556" s="263"/>
      <c r="AB556" s="265" t="str">
        <f t="shared" si="80"/>
        <v/>
      </c>
    </row>
    <row r="557" spans="1:28" s="264" customFormat="1" ht="20.399999999999999">
      <c r="A557" s="207"/>
      <c r="B557" s="208"/>
      <c r="C557" s="212"/>
      <c r="D557" s="270"/>
      <c r="E557" s="208"/>
      <c r="F557" s="208"/>
      <c r="G557" s="208"/>
      <c r="H557" s="209"/>
      <c r="I557" s="210"/>
      <c r="J557" s="210"/>
      <c r="K557" s="260"/>
      <c r="L557" s="260"/>
      <c r="M557" s="260"/>
      <c r="N557" s="260"/>
      <c r="O557" s="260"/>
      <c r="P557" s="211"/>
      <c r="Q557" s="261"/>
      <c r="R557" s="208" t="str">
        <f ca="1">IF(ISERROR($V557),"",OFFSET('Smelter Look-up'!$C$4,$V557-4,0)&amp;"")</f>
        <v/>
      </c>
      <c r="S557" s="215" t="str">
        <f t="shared" ca="1" si="78"/>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si="79"/>
        <v>0</v>
      </c>
      <c r="Y557" s="263"/>
      <c r="Z557" s="263"/>
      <c r="AB557" s="265" t="str">
        <f t="shared" si="80"/>
        <v/>
      </c>
    </row>
    <row r="558" spans="1:28" s="264" customFormat="1" ht="20.399999999999999">
      <c r="A558" s="207"/>
      <c r="B558" s="208"/>
      <c r="C558" s="212"/>
      <c r="D558" s="270"/>
      <c r="E558" s="208"/>
      <c r="F558" s="208"/>
      <c r="G558" s="208"/>
      <c r="H558" s="209"/>
      <c r="I558" s="210"/>
      <c r="J558" s="210"/>
      <c r="K558" s="260"/>
      <c r="L558" s="260"/>
      <c r="M558" s="260"/>
      <c r="N558" s="260"/>
      <c r="O558" s="260"/>
      <c r="P558" s="211"/>
      <c r="Q558" s="261"/>
      <c r="R558" s="208" t="str">
        <f ca="1">IF(ISERROR($V558),"",OFFSET('Smelter Look-up'!$C$4,$V558-4,0)&amp;"")</f>
        <v/>
      </c>
      <c r="S558" s="215" t="str">
        <f t="shared" ca="1" si="78"/>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si="79"/>
        <v>0</v>
      </c>
      <c r="Y558" s="263"/>
      <c r="Z558" s="263"/>
      <c r="AB558" s="265" t="str">
        <f t="shared" si="80"/>
        <v/>
      </c>
    </row>
    <row r="559" spans="1:28" s="264" customFormat="1" ht="20.399999999999999">
      <c r="A559" s="207"/>
      <c r="B559" s="208"/>
      <c r="C559" s="212"/>
      <c r="D559" s="270"/>
      <c r="E559" s="208"/>
      <c r="F559" s="208"/>
      <c r="G559" s="208"/>
      <c r="H559" s="209"/>
      <c r="I559" s="210"/>
      <c r="J559" s="210"/>
      <c r="K559" s="260"/>
      <c r="L559" s="260"/>
      <c r="M559" s="260"/>
      <c r="N559" s="260"/>
      <c r="O559" s="260"/>
      <c r="P559" s="211"/>
      <c r="Q559" s="261"/>
      <c r="R559" s="208" t="str">
        <f ca="1">IF(ISERROR($V559),"",OFFSET('Smelter Look-up'!$C$4,$V559-4,0)&amp;"")</f>
        <v/>
      </c>
      <c r="S559" s="215" t="str">
        <f t="shared" ca="1" si="78"/>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si="79"/>
        <v>0</v>
      </c>
      <c r="Y559" s="263"/>
      <c r="Z559" s="263"/>
      <c r="AB559" s="265" t="str">
        <f t="shared" si="80"/>
        <v/>
      </c>
    </row>
    <row r="560" spans="1:28" s="264" customFormat="1" ht="20.399999999999999">
      <c r="A560" s="207"/>
      <c r="B560" s="208"/>
      <c r="C560" s="212"/>
      <c r="D560" s="270"/>
      <c r="E560" s="208"/>
      <c r="F560" s="208"/>
      <c r="G560" s="208"/>
      <c r="H560" s="209"/>
      <c r="I560" s="210"/>
      <c r="J560" s="210"/>
      <c r="K560" s="260"/>
      <c r="L560" s="260"/>
      <c r="M560" s="260"/>
      <c r="N560" s="260"/>
      <c r="O560" s="260"/>
      <c r="P560" s="211"/>
      <c r="Q560" s="261"/>
      <c r="R560" s="208" t="str">
        <f ca="1">IF(ISERROR($V560),"",OFFSET('Smelter Look-up'!$C$4,$V560-4,0)&amp;"")</f>
        <v/>
      </c>
      <c r="S560" s="215" t="str">
        <f t="shared" ca="1" si="78"/>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si="79"/>
        <v>0</v>
      </c>
      <c r="Y560" s="263"/>
      <c r="Z560" s="263"/>
      <c r="AB560" s="265" t="str">
        <f t="shared" si="80"/>
        <v/>
      </c>
    </row>
    <row r="561" spans="1:28" s="264" customFormat="1" ht="20.399999999999999">
      <c r="A561" s="207"/>
      <c r="B561" s="208"/>
      <c r="C561" s="212"/>
      <c r="D561" s="270"/>
      <c r="E561" s="208"/>
      <c r="F561" s="208"/>
      <c r="G561" s="208"/>
      <c r="H561" s="209"/>
      <c r="I561" s="210"/>
      <c r="J561" s="210"/>
      <c r="K561" s="260"/>
      <c r="L561" s="260"/>
      <c r="M561" s="260"/>
      <c r="N561" s="260"/>
      <c r="O561" s="260"/>
      <c r="P561" s="211"/>
      <c r="Q561" s="261"/>
      <c r="R561" s="208" t="str">
        <f ca="1">IF(ISERROR($V561),"",OFFSET('Smelter Look-up'!$C$4,$V561-4,0)&amp;"")</f>
        <v/>
      </c>
      <c r="S561" s="215" t="str">
        <f t="shared" ca="1" si="78"/>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si="79"/>
        <v>0</v>
      </c>
      <c r="Y561" s="263"/>
      <c r="Z561" s="263"/>
      <c r="AB561" s="265" t="str">
        <f t="shared" si="80"/>
        <v/>
      </c>
    </row>
    <row r="562" spans="1:28" s="264" customFormat="1" ht="20.399999999999999">
      <c r="A562" s="207"/>
      <c r="B562" s="208"/>
      <c r="C562" s="212"/>
      <c r="D562" s="270"/>
      <c r="E562" s="208"/>
      <c r="F562" s="208"/>
      <c r="G562" s="208"/>
      <c r="H562" s="209"/>
      <c r="I562" s="210"/>
      <c r="J562" s="210"/>
      <c r="K562" s="260"/>
      <c r="L562" s="260"/>
      <c r="M562" s="260"/>
      <c r="N562" s="260"/>
      <c r="O562" s="260"/>
      <c r="P562" s="211"/>
      <c r="Q562" s="261"/>
      <c r="R562" s="208" t="str">
        <f ca="1">IF(ISERROR($V562),"",OFFSET('Smelter Look-up'!$C$4,$V562-4,0)&amp;"")</f>
        <v/>
      </c>
      <c r="S562" s="215" t="str">
        <f t="shared" ca="1" si="78"/>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si="79"/>
        <v>0</v>
      </c>
      <c r="Y562" s="263"/>
      <c r="Z562" s="263"/>
      <c r="AB562" s="265" t="str">
        <f t="shared" si="80"/>
        <v/>
      </c>
    </row>
    <row r="563" spans="1:28" s="264" customFormat="1" ht="20.399999999999999">
      <c r="A563" s="207"/>
      <c r="B563" s="208"/>
      <c r="C563" s="212"/>
      <c r="D563" s="270"/>
      <c r="E563" s="208"/>
      <c r="F563" s="208"/>
      <c r="G563" s="208"/>
      <c r="H563" s="209"/>
      <c r="I563" s="210"/>
      <c r="J563" s="210"/>
      <c r="K563" s="260"/>
      <c r="L563" s="260"/>
      <c r="M563" s="260"/>
      <c r="N563" s="260"/>
      <c r="O563" s="260"/>
      <c r="P563" s="211"/>
      <c r="Q563" s="261"/>
      <c r="R563" s="208" t="str">
        <f ca="1">IF(ISERROR($V563),"",OFFSET('Smelter Look-up'!$C$4,$V563-4,0)&amp;"")</f>
        <v/>
      </c>
      <c r="S563" s="215" t="str">
        <f t="shared" ca="1" si="78"/>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si="79"/>
        <v>0</v>
      </c>
      <c r="Y563" s="263"/>
      <c r="Z563" s="263"/>
      <c r="AB563" s="265" t="str">
        <f t="shared" si="80"/>
        <v/>
      </c>
    </row>
    <row r="564" spans="1:28" s="264" customFormat="1" ht="20.399999999999999">
      <c r="A564" s="207"/>
      <c r="B564" s="208"/>
      <c r="C564" s="212"/>
      <c r="D564" s="270"/>
      <c r="E564" s="208"/>
      <c r="F564" s="208"/>
      <c r="G564" s="208"/>
      <c r="H564" s="209"/>
      <c r="I564" s="210"/>
      <c r="J564" s="210"/>
      <c r="K564" s="260"/>
      <c r="L564" s="260"/>
      <c r="M564" s="260"/>
      <c r="N564" s="260"/>
      <c r="O564" s="260"/>
      <c r="P564" s="211"/>
      <c r="Q564" s="261"/>
      <c r="R564" s="208" t="str">
        <f ca="1">IF(ISERROR($V564),"",OFFSET('Smelter Look-up'!$C$4,$V564-4,0)&amp;"")</f>
        <v/>
      </c>
      <c r="S564" s="215" t="str">
        <f t="shared" ca="1" si="78"/>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si="79"/>
        <v>0</v>
      </c>
      <c r="Y564" s="263"/>
      <c r="Z564" s="263"/>
      <c r="AB564" s="265" t="str">
        <f t="shared" si="80"/>
        <v/>
      </c>
    </row>
    <row r="565" spans="1:28" s="264" customFormat="1" ht="20.399999999999999">
      <c r="A565" s="207"/>
      <c r="B565" s="208"/>
      <c r="C565" s="212"/>
      <c r="D565" s="270"/>
      <c r="E565" s="208"/>
      <c r="F565" s="208"/>
      <c r="G565" s="208"/>
      <c r="H565" s="209"/>
      <c r="I565" s="210"/>
      <c r="J565" s="210"/>
      <c r="K565" s="260"/>
      <c r="L565" s="260"/>
      <c r="M565" s="260"/>
      <c r="N565" s="260"/>
      <c r="O565" s="260"/>
      <c r="P565" s="211"/>
      <c r="Q565" s="261"/>
      <c r="R565" s="208" t="str">
        <f ca="1">IF(ISERROR($V565),"",OFFSET('Smelter Look-up'!$C$4,$V565-4,0)&amp;"")</f>
        <v/>
      </c>
      <c r="S565" s="215" t="str">
        <f t="shared" ca="1" si="78"/>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si="79"/>
        <v>0</v>
      </c>
      <c r="Y565" s="263"/>
      <c r="Z565" s="263"/>
      <c r="AB565" s="265" t="str">
        <f t="shared" si="80"/>
        <v/>
      </c>
    </row>
    <row r="566" spans="1:28" s="264" customFormat="1" ht="20.399999999999999">
      <c r="A566" s="207"/>
      <c r="B566" s="208"/>
      <c r="C566" s="212"/>
      <c r="D566" s="270"/>
      <c r="E566" s="208"/>
      <c r="F566" s="208"/>
      <c r="G566" s="208"/>
      <c r="H566" s="209"/>
      <c r="I566" s="210"/>
      <c r="J566" s="210"/>
      <c r="K566" s="260"/>
      <c r="L566" s="260"/>
      <c r="M566" s="260"/>
      <c r="N566" s="260"/>
      <c r="O566" s="260"/>
      <c r="P566" s="211"/>
      <c r="Q566" s="261"/>
      <c r="R566" s="208" t="str">
        <f ca="1">IF(ISERROR($V566),"",OFFSET('Smelter Look-up'!$C$4,$V566-4,0)&amp;"")</f>
        <v/>
      </c>
      <c r="S566" s="215" t="str">
        <f t="shared" ca="1" si="78"/>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si="79"/>
        <v>0</v>
      </c>
      <c r="Y566" s="263"/>
      <c r="Z566" s="263"/>
      <c r="AB566" s="265" t="str">
        <f t="shared" si="80"/>
        <v/>
      </c>
    </row>
    <row r="567" spans="1:28" s="264" customFormat="1" ht="20.399999999999999">
      <c r="A567" s="207"/>
      <c r="B567" s="208"/>
      <c r="C567" s="212"/>
      <c r="D567" s="270"/>
      <c r="E567" s="208"/>
      <c r="F567" s="208"/>
      <c r="G567" s="208"/>
      <c r="H567" s="209"/>
      <c r="I567" s="210"/>
      <c r="J567" s="210"/>
      <c r="K567" s="260"/>
      <c r="L567" s="260"/>
      <c r="M567" s="260"/>
      <c r="N567" s="260"/>
      <c r="O567" s="260"/>
      <c r="P567" s="211"/>
      <c r="Q567" s="261"/>
      <c r="R567" s="208" t="str">
        <f ca="1">IF(ISERROR($V567),"",OFFSET('Smelter Look-up'!$C$4,$V567-4,0)&amp;"")</f>
        <v/>
      </c>
      <c r="S567" s="215" t="str">
        <f t="shared" ca="1" si="78"/>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si="79"/>
        <v>0</v>
      </c>
      <c r="Y567" s="263"/>
      <c r="Z567" s="263"/>
      <c r="AB567" s="265" t="str">
        <f t="shared" si="80"/>
        <v/>
      </c>
    </row>
    <row r="568" spans="1:28" s="264" customFormat="1" ht="20.399999999999999">
      <c r="A568" s="207"/>
      <c r="B568" s="208"/>
      <c r="C568" s="212"/>
      <c r="D568" s="270"/>
      <c r="E568" s="208"/>
      <c r="F568" s="208"/>
      <c r="G568" s="208"/>
      <c r="H568" s="209"/>
      <c r="I568" s="210"/>
      <c r="J568" s="210"/>
      <c r="K568" s="260"/>
      <c r="L568" s="260"/>
      <c r="M568" s="260"/>
      <c r="N568" s="260"/>
      <c r="O568" s="260"/>
      <c r="P568" s="211"/>
      <c r="Q568" s="261"/>
      <c r="R568" s="208" t="str">
        <f ca="1">IF(ISERROR($V568),"",OFFSET('Smelter Look-up'!$C$4,$V568-4,0)&amp;"")</f>
        <v/>
      </c>
      <c r="S568" s="215" t="str">
        <f t="shared" ca="1" si="78"/>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si="79"/>
        <v>0</v>
      </c>
      <c r="Y568" s="263"/>
      <c r="Z568" s="263"/>
      <c r="AB568" s="265" t="str">
        <f t="shared" si="80"/>
        <v/>
      </c>
    </row>
    <row r="569" spans="1:28" s="264" customFormat="1" ht="20.399999999999999">
      <c r="A569" s="207"/>
      <c r="B569" s="208"/>
      <c r="C569" s="212"/>
      <c r="D569" s="270"/>
      <c r="E569" s="208"/>
      <c r="F569" s="208"/>
      <c r="G569" s="208"/>
      <c r="H569" s="209"/>
      <c r="I569" s="210"/>
      <c r="J569" s="210"/>
      <c r="K569" s="260"/>
      <c r="L569" s="260"/>
      <c r="M569" s="260"/>
      <c r="N569" s="260"/>
      <c r="O569" s="260"/>
      <c r="P569" s="211"/>
      <c r="Q569" s="261"/>
      <c r="R569" s="208" t="str">
        <f ca="1">IF(ISERROR($V569),"",OFFSET('Smelter Look-up'!$C$4,$V569-4,0)&amp;"")</f>
        <v/>
      </c>
      <c r="S569" s="215" t="str">
        <f t="shared" ca="1" si="78"/>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si="79"/>
        <v>0</v>
      </c>
      <c r="Y569" s="263"/>
      <c r="Z569" s="263"/>
      <c r="AB569" s="265" t="str">
        <f t="shared" si="80"/>
        <v/>
      </c>
    </row>
    <row r="570" spans="1:28" s="264" customFormat="1" ht="20.399999999999999">
      <c r="A570" s="207"/>
      <c r="B570" s="208"/>
      <c r="C570" s="212"/>
      <c r="D570" s="270"/>
      <c r="E570" s="208"/>
      <c r="F570" s="208"/>
      <c r="G570" s="208"/>
      <c r="H570" s="209"/>
      <c r="I570" s="210"/>
      <c r="J570" s="210"/>
      <c r="K570" s="260"/>
      <c r="L570" s="260"/>
      <c r="M570" s="260"/>
      <c r="N570" s="260"/>
      <c r="O570" s="260"/>
      <c r="P570" s="211"/>
      <c r="Q570" s="261"/>
      <c r="R570" s="208" t="str">
        <f ca="1">IF(ISERROR($V570),"",OFFSET('Smelter Look-up'!$C$4,$V570-4,0)&amp;"")</f>
        <v/>
      </c>
      <c r="S570" s="215" t="str">
        <f t="shared" ca="1" si="78"/>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si="79"/>
        <v>0</v>
      </c>
      <c r="Y570" s="263"/>
      <c r="Z570" s="263"/>
      <c r="AB570" s="265" t="str">
        <f t="shared" si="80"/>
        <v/>
      </c>
    </row>
    <row r="571" spans="1:28" s="264" customFormat="1" ht="20.399999999999999">
      <c r="A571" s="207"/>
      <c r="B571" s="208"/>
      <c r="C571" s="212"/>
      <c r="D571" s="270"/>
      <c r="E571" s="208"/>
      <c r="F571" s="208"/>
      <c r="G571" s="208"/>
      <c r="H571" s="209"/>
      <c r="I571" s="210"/>
      <c r="J571" s="210"/>
      <c r="K571" s="260"/>
      <c r="L571" s="260"/>
      <c r="M571" s="260"/>
      <c r="N571" s="260"/>
      <c r="O571" s="260"/>
      <c r="P571" s="211"/>
      <c r="Q571" s="261"/>
      <c r="R571" s="208" t="str">
        <f ca="1">IF(ISERROR($V571),"",OFFSET('Smelter Look-up'!$C$4,$V571-4,0)&amp;"")</f>
        <v/>
      </c>
      <c r="S571" s="215" t="str">
        <f t="shared" ca="1" si="78"/>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si="79"/>
        <v>0</v>
      </c>
      <c r="Y571" s="263"/>
      <c r="Z571" s="263"/>
      <c r="AB571" s="265" t="str">
        <f t="shared" si="80"/>
        <v/>
      </c>
    </row>
    <row r="572" spans="1:28" s="264" customFormat="1" ht="20.399999999999999">
      <c r="A572" s="207"/>
      <c r="B572" s="208"/>
      <c r="C572" s="212"/>
      <c r="D572" s="270"/>
      <c r="E572" s="208"/>
      <c r="F572" s="208"/>
      <c r="G572" s="208"/>
      <c r="H572" s="209"/>
      <c r="I572" s="210"/>
      <c r="J572" s="210"/>
      <c r="K572" s="260"/>
      <c r="L572" s="260"/>
      <c r="M572" s="260"/>
      <c r="N572" s="260"/>
      <c r="O572" s="260"/>
      <c r="P572" s="211"/>
      <c r="Q572" s="261"/>
      <c r="R572" s="208" t="str">
        <f ca="1">IF(ISERROR($V572),"",OFFSET('Smelter Look-up'!$C$4,$V572-4,0)&amp;"")</f>
        <v/>
      </c>
      <c r="S572" s="215" t="str">
        <f t="shared" ca="1" si="78"/>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si="79"/>
        <v>0</v>
      </c>
      <c r="Y572" s="263"/>
      <c r="Z572" s="263"/>
      <c r="AB572" s="265" t="str">
        <f t="shared" si="80"/>
        <v/>
      </c>
    </row>
    <row r="573" spans="1:28" s="264" customFormat="1" ht="20.399999999999999">
      <c r="A573" s="207"/>
      <c r="B573" s="208"/>
      <c r="C573" s="212"/>
      <c r="D573" s="270"/>
      <c r="E573" s="208"/>
      <c r="F573" s="208"/>
      <c r="G573" s="208"/>
      <c r="H573" s="209"/>
      <c r="I573" s="210"/>
      <c r="J573" s="210"/>
      <c r="K573" s="260"/>
      <c r="L573" s="260"/>
      <c r="M573" s="260"/>
      <c r="N573" s="260"/>
      <c r="O573" s="260"/>
      <c r="P573" s="211"/>
      <c r="Q573" s="261"/>
      <c r="R573" s="208" t="str">
        <f ca="1">IF(ISERROR($V573),"",OFFSET('Smelter Look-up'!$C$4,$V573-4,0)&amp;"")</f>
        <v/>
      </c>
      <c r="S573" s="215" t="str">
        <f t="shared" ca="1" si="78"/>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si="79"/>
        <v>0</v>
      </c>
      <c r="Y573" s="263"/>
      <c r="Z573" s="263"/>
      <c r="AB573" s="265" t="str">
        <f t="shared" si="80"/>
        <v/>
      </c>
    </row>
    <row r="574" spans="1:28" s="264" customFormat="1" ht="20.399999999999999">
      <c r="A574" s="207"/>
      <c r="B574" s="208"/>
      <c r="C574" s="212"/>
      <c r="D574" s="270"/>
      <c r="E574" s="208"/>
      <c r="F574" s="208"/>
      <c r="G574" s="208"/>
      <c r="H574" s="209"/>
      <c r="I574" s="210"/>
      <c r="J574" s="210"/>
      <c r="K574" s="260"/>
      <c r="L574" s="260"/>
      <c r="M574" s="260"/>
      <c r="N574" s="260"/>
      <c r="O574" s="260"/>
      <c r="P574" s="211"/>
      <c r="Q574" s="261"/>
      <c r="R574" s="208" t="str">
        <f ca="1">IF(ISERROR($V574),"",OFFSET('Smelter Look-up'!$C$4,$V574-4,0)&amp;"")</f>
        <v/>
      </c>
      <c r="S574" s="215" t="str">
        <f t="shared" ca="1" si="78"/>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si="79"/>
        <v>0</v>
      </c>
      <c r="Y574" s="263"/>
      <c r="Z574" s="263"/>
      <c r="AB574" s="265" t="str">
        <f t="shared" si="80"/>
        <v/>
      </c>
    </row>
    <row r="575" spans="1:28" s="264" customFormat="1" ht="20.399999999999999">
      <c r="A575" s="207"/>
      <c r="B575" s="208"/>
      <c r="C575" s="212"/>
      <c r="D575" s="270"/>
      <c r="E575" s="208"/>
      <c r="F575" s="208"/>
      <c r="G575" s="208"/>
      <c r="H575" s="209"/>
      <c r="I575" s="210"/>
      <c r="J575" s="210"/>
      <c r="K575" s="260"/>
      <c r="L575" s="260"/>
      <c r="M575" s="260"/>
      <c r="N575" s="260"/>
      <c r="O575" s="260"/>
      <c r="P575" s="211"/>
      <c r="Q575" s="261"/>
      <c r="R575" s="208" t="str">
        <f ca="1">IF(ISERROR($V575),"",OFFSET('Smelter Look-up'!$C$4,$V575-4,0)&amp;"")</f>
        <v/>
      </c>
      <c r="S575" s="215" t="str">
        <f t="shared" ca="1" si="78"/>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t="shared" si="79"/>
        <v>0</v>
      </c>
      <c r="Y575" s="263"/>
      <c r="Z575" s="263"/>
      <c r="AB575" s="265" t="str">
        <f t="shared" si="80"/>
        <v/>
      </c>
    </row>
    <row r="576" spans="1:28" s="264" customFormat="1" ht="20.399999999999999">
      <c r="A576" s="207"/>
      <c r="B576" s="208"/>
      <c r="C576" s="212"/>
      <c r="D576" s="270"/>
      <c r="E576" s="208"/>
      <c r="F576" s="208"/>
      <c r="G576" s="208"/>
      <c r="H576" s="209"/>
      <c r="I576" s="210"/>
      <c r="J576" s="210"/>
      <c r="K576" s="260"/>
      <c r="L576" s="260"/>
      <c r="M576" s="260"/>
      <c r="N576" s="260"/>
      <c r="O576" s="260"/>
      <c r="P576" s="211"/>
      <c r="Q576" s="261"/>
      <c r="R576" s="208" t="str">
        <f ca="1">IF(ISERROR($V576),"",OFFSET('Smelter Look-up'!$C$4,$V576-4,0)&amp;"")</f>
        <v/>
      </c>
      <c r="S576" s="215" t="str">
        <f t="shared" ca="1" si="78"/>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t="shared" si="79"/>
        <v>0</v>
      </c>
      <c r="Y576" s="263"/>
      <c r="Z576" s="263"/>
      <c r="AB576" s="265" t="str">
        <f t="shared" si="80"/>
        <v/>
      </c>
    </row>
    <row r="577" spans="1:28" s="264" customFormat="1" ht="20.399999999999999">
      <c r="A577" s="207"/>
      <c r="B577" s="208"/>
      <c r="C577" s="212"/>
      <c r="D577" s="270"/>
      <c r="E577" s="208"/>
      <c r="F577" s="208"/>
      <c r="G577" s="208"/>
      <c r="H577" s="209"/>
      <c r="I577" s="210"/>
      <c r="J577" s="210"/>
      <c r="K577" s="260"/>
      <c r="L577" s="260"/>
      <c r="M577" s="260"/>
      <c r="N577" s="260"/>
      <c r="O577" s="260"/>
      <c r="P577" s="211"/>
      <c r="Q577" s="261"/>
      <c r="R577" s="208" t="str">
        <f ca="1">IF(ISERROR($V577),"",OFFSET('Smelter Look-up'!$C$4,$V577-4,0)&amp;"")</f>
        <v/>
      </c>
      <c r="S577" s="215" t="str">
        <f t="shared" ca="1" si="78"/>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t="shared" si="79"/>
        <v>0</v>
      </c>
      <c r="Y577" s="263"/>
      <c r="Z577" s="263"/>
      <c r="AB577" s="265" t="str">
        <f t="shared" si="80"/>
        <v/>
      </c>
    </row>
    <row r="578" spans="1:28" s="264" customFormat="1" ht="20.399999999999999">
      <c r="A578" s="207"/>
      <c r="B578" s="208"/>
      <c r="C578" s="212"/>
      <c r="D578" s="270"/>
      <c r="E578" s="208"/>
      <c r="F578" s="208"/>
      <c r="G578" s="208"/>
      <c r="H578" s="209"/>
      <c r="I578" s="210"/>
      <c r="J578" s="210"/>
      <c r="K578" s="260"/>
      <c r="L578" s="260"/>
      <c r="M578" s="260"/>
      <c r="N578" s="260"/>
      <c r="O578" s="260"/>
      <c r="P578" s="211"/>
      <c r="Q578" s="261"/>
      <c r="R578" s="208" t="str">
        <f ca="1">IF(ISERROR($V578),"",OFFSET('Smelter Look-up'!$C$4,$V578-4,0)&amp;"")</f>
        <v/>
      </c>
      <c r="S578" s="215" t="str">
        <f t="shared" ca="1" si="78"/>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t="shared" si="79"/>
        <v>0</v>
      </c>
      <c r="Y578" s="263"/>
      <c r="Z578" s="263"/>
      <c r="AB578" s="265" t="str">
        <f t="shared" si="80"/>
        <v/>
      </c>
    </row>
    <row r="579" spans="1:28" s="264" customFormat="1" ht="20.399999999999999">
      <c r="A579" s="207"/>
      <c r="B579" s="208"/>
      <c r="C579" s="212"/>
      <c r="D579" s="270"/>
      <c r="E579" s="208"/>
      <c r="F579" s="208"/>
      <c r="G579" s="208"/>
      <c r="H579" s="209"/>
      <c r="I579" s="210"/>
      <c r="J579" s="210"/>
      <c r="K579" s="260"/>
      <c r="L579" s="260"/>
      <c r="M579" s="260"/>
      <c r="N579" s="260"/>
      <c r="O579" s="260"/>
      <c r="P579" s="211"/>
      <c r="Q579" s="261"/>
      <c r="R579" s="208" t="str">
        <f ca="1">IF(ISERROR($V579),"",OFFSET('Smelter Look-up'!$C$4,$V579-4,0)&amp;"")</f>
        <v/>
      </c>
      <c r="S579" s="215" t="str">
        <f t="shared" ca="1" si="78"/>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t="shared" si="79"/>
        <v>0</v>
      </c>
      <c r="Y579" s="263"/>
      <c r="Z579" s="263"/>
      <c r="AB579" s="265" t="str">
        <f t="shared" si="80"/>
        <v/>
      </c>
    </row>
    <row r="580" spans="1:28" s="264" customFormat="1" ht="20.399999999999999">
      <c r="A580" s="207"/>
      <c r="B580" s="208"/>
      <c r="C580" s="212"/>
      <c r="D580" s="270"/>
      <c r="E580" s="208"/>
      <c r="F580" s="208"/>
      <c r="G580" s="208"/>
      <c r="H580" s="209"/>
      <c r="I580" s="210"/>
      <c r="J580" s="210"/>
      <c r="K580" s="260"/>
      <c r="L580" s="260"/>
      <c r="M580" s="260"/>
      <c r="N580" s="260"/>
      <c r="O580" s="260"/>
      <c r="P580" s="211"/>
      <c r="Q580" s="261"/>
      <c r="R580" s="208" t="str">
        <f ca="1">IF(ISERROR($V580),"",OFFSET('Smelter Look-up'!$C$4,$V580-4,0)&amp;"")</f>
        <v/>
      </c>
      <c r="S580" s="215" t="str">
        <f t="shared" ca="1" si="78"/>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t="shared" si="79"/>
        <v>0</v>
      </c>
      <c r="Y580" s="263"/>
      <c r="Z580" s="263"/>
      <c r="AB580" s="265" t="str">
        <f t="shared" si="80"/>
        <v/>
      </c>
    </row>
    <row r="581" spans="1:28" s="264" customFormat="1" ht="20.399999999999999">
      <c r="A581" s="207"/>
      <c r="B581" s="208"/>
      <c r="C581" s="212"/>
      <c r="D581" s="270"/>
      <c r="E581" s="208"/>
      <c r="F581" s="208"/>
      <c r="G581" s="208"/>
      <c r="H581" s="209"/>
      <c r="I581" s="210"/>
      <c r="J581" s="210"/>
      <c r="K581" s="260"/>
      <c r="L581" s="260"/>
      <c r="M581" s="260"/>
      <c r="N581" s="260"/>
      <c r="O581" s="260"/>
      <c r="P581" s="211"/>
      <c r="Q581" s="261"/>
      <c r="R581" s="208" t="str">
        <f ca="1">IF(ISERROR($V581),"",OFFSET('Smelter Look-up'!$C$4,$V581-4,0)&amp;"")</f>
        <v/>
      </c>
      <c r="S581" s="215" t="str">
        <f t="shared" ref="S581" ca="1" si="81">IF(B581="","",IF(ISERROR(MATCH($E581,CL,0)),"Unknown",INDIRECT("'C'!$A$"&amp;MATCH($E581,CL,0)+1)))</f>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t="shared" ref="X581" si="82">IF(AND(C581="Smelter not listed",OR(LEN(D581)=0,LEN(E581)=0)),1,0)</f>
        <v>0</v>
      </c>
      <c r="Y581" s="263"/>
      <c r="Z581" s="263"/>
      <c r="AB581" s="265" t="str">
        <f t="shared" ref="AB581" si="83">B581&amp;C581</f>
        <v/>
      </c>
    </row>
    <row r="582" spans="1:28" s="264" customFormat="1" ht="20.399999999999999">
      <c r="A582" s="207"/>
      <c r="B582" s="208"/>
      <c r="C582" s="212"/>
      <c r="D582" s="270"/>
      <c r="E582" s="208"/>
      <c r="F582" s="208"/>
      <c r="G582" s="208"/>
      <c r="H582" s="209"/>
      <c r="I582" s="210"/>
      <c r="J582" s="210"/>
      <c r="K582" s="260"/>
      <c r="L582" s="260"/>
      <c r="M582" s="260"/>
      <c r="N582" s="260"/>
      <c r="O582" s="260"/>
      <c r="P582" s="211"/>
      <c r="Q582" s="261"/>
      <c r="R582" s="208" t="str">
        <f ca="1">IF(ISERROR($V582),"",OFFSET('Smelter Look-up'!$C$4,$V582-4,0)&amp;"")</f>
        <v/>
      </c>
      <c r="S582" s="215" t="str">
        <f ca="1">IF(B582="","",IF(ISERROR(MATCH($E582,CL,0)),"Unknown",INDIRECT("'C'!$A$"&amp;MATCH($E582,CL,0)+1)))</f>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IF(AND(C582="Smelter not listed",OR(LEN(D582)=0,LEN(E582)=0)),1,0)</f>
        <v>0</v>
      </c>
      <c r="Y582" s="263"/>
      <c r="Z582" s="263"/>
      <c r="AB582" s="265" t="str">
        <f>B582&amp;C582</f>
        <v/>
      </c>
    </row>
    <row r="583" spans="1:28" s="264" customFormat="1" ht="20.399999999999999">
      <c r="A583" s="207"/>
      <c r="B583" s="208"/>
      <c r="C583" s="212"/>
      <c r="D583" s="270"/>
      <c r="E583" s="208"/>
      <c r="F583" s="208"/>
      <c r="G583" s="208"/>
      <c r="H583" s="209"/>
      <c r="I583" s="210"/>
      <c r="J583" s="210"/>
      <c r="K583" s="260"/>
      <c r="L583" s="260"/>
      <c r="M583" s="260"/>
      <c r="N583" s="260"/>
      <c r="O583" s="260"/>
      <c r="P583" s="211"/>
      <c r="Q583" s="261"/>
      <c r="R583" s="208" t="str">
        <f ca="1">IF(ISERROR($V583),"",OFFSET('Smelter Look-up'!$C$4,$V583-4,0)&amp;"")</f>
        <v/>
      </c>
      <c r="S583" s="215" t="str">
        <f ca="1">IF(B583="","",IF(ISERROR(MATCH($E583,CL,0)),"Unknown",INDIRECT("'C'!$A$"&amp;MATCH($E583,CL,0)+1)))</f>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IF(AND(C583="Smelter not listed",OR(LEN(D583)=0,LEN(E583)=0)),1,0)</f>
        <v>0</v>
      </c>
      <c r="Y583" s="263"/>
      <c r="Z583" s="263"/>
      <c r="AB583" s="265" t="str">
        <f>B583&amp;C583</f>
        <v/>
      </c>
    </row>
    <row r="584" spans="1:28" s="264" customFormat="1" ht="20.399999999999999">
      <c r="A584" s="207"/>
      <c r="B584" s="208"/>
      <c r="C584" s="212"/>
      <c r="D584" s="270"/>
      <c r="E584" s="208"/>
      <c r="F584" s="208"/>
      <c r="G584" s="208"/>
      <c r="H584" s="209"/>
      <c r="I584" s="210"/>
      <c r="J584" s="210"/>
      <c r="K584" s="260"/>
      <c r="L584" s="260"/>
      <c r="M584" s="260"/>
      <c r="N584" s="260"/>
      <c r="O584" s="260"/>
      <c r="P584" s="211"/>
      <c r="Q584" s="261"/>
      <c r="R584" s="208" t="str">
        <f ca="1">IF(ISERROR($V584),"",OFFSET('Smelter Look-up'!$C$4,$V584-4,0)&amp;"")</f>
        <v/>
      </c>
      <c r="S584" s="215" t="str">
        <f ca="1">IF(B584="","",IF(ISERROR(MATCH($E584,CL,0)),"Unknown",INDIRECT("'C'!$A$"&amp;MATCH($E584,CL,0)+1)))</f>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IF(AND(C584="Smelter not listed",OR(LEN(D584)=0,LEN(E584)=0)),1,0)</f>
        <v>0</v>
      </c>
      <c r="Y584" s="263"/>
      <c r="Z584" s="263"/>
      <c r="AB584" s="265" t="str">
        <f>B584&amp;C584</f>
        <v/>
      </c>
    </row>
    <row r="585" spans="1:28" s="264" customFormat="1" ht="20.399999999999999">
      <c r="A585" s="207"/>
      <c r="B585" s="208"/>
      <c r="C585" s="212"/>
      <c r="D585" s="270"/>
      <c r="E585" s="208"/>
      <c r="F585" s="208"/>
      <c r="G585" s="208"/>
      <c r="H585" s="209"/>
      <c r="I585" s="210"/>
      <c r="J585" s="210"/>
      <c r="K585" s="260"/>
      <c r="L585" s="260"/>
      <c r="M585" s="260"/>
      <c r="N585" s="260"/>
      <c r="O585" s="260"/>
      <c r="P585" s="211"/>
      <c r="Q585" s="261"/>
      <c r="R585" s="208" t="str">
        <f ca="1">IF(ISERROR($V585),"",OFFSET('Smelter Look-up'!$C$4,$V585-4,0)&amp;"")</f>
        <v/>
      </c>
      <c r="S585" s="215" t="str">
        <f ca="1">IF(B585="","",IF(ISERROR(MATCH($E585,CL,0)),"Unknown",INDIRECT("'C'!$A$"&amp;MATCH($E585,CL,0)+1)))</f>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IF(AND(C585="Smelter not listed",OR(LEN(D585)=0,LEN(E585)=0)),1,0)</f>
        <v>0</v>
      </c>
      <c r="Y585" s="263"/>
      <c r="Z585" s="263"/>
      <c r="AB585" s="265" t="str">
        <f>B585&amp;C585</f>
        <v/>
      </c>
    </row>
    <row r="586" spans="1:28" s="264" customFormat="1" ht="20.399999999999999">
      <c r="A586" s="207"/>
      <c r="B586" s="208"/>
      <c r="C586" s="212"/>
      <c r="D586" s="270"/>
      <c r="E586" s="208"/>
      <c r="F586" s="208"/>
      <c r="G586" s="208"/>
      <c r="H586" s="209"/>
      <c r="I586" s="210"/>
      <c r="J586" s="210"/>
      <c r="K586" s="260"/>
      <c r="L586" s="260"/>
      <c r="M586" s="260"/>
      <c r="N586" s="260"/>
      <c r="O586" s="260"/>
      <c r="P586" s="211"/>
      <c r="Q586" s="261"/>
      <c r="R586" s="208" t="str">
        <f ca="1">IF(ISERROR($V586),"",OFFSET('Smelter Look-up'!$C$4,$V586-4,0)&amp;"")</f>
        <v/>
      </c>
      <c r="S586" s="215" t="str">
        <f t="shared" ref="S586" ca="1" si="84">IF(B586="","",IF(ISERROR(MATCH($E586,CL,0)),"Unknown",INDIRECT("'C'!$A$"&amp;MATCH($E586,CL,0)+1)))</f>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ref="X586" si="85">IF(AND(C586="Smelter not listed",OR(LEN(D586)=0,LEN(E586)=0)),1,0)</f>
        <v>0</v>
      </c>
      <c r="Y586" s="263"/>
      <c r="Z586" s="263"/>
      <c r="AB586" s="265" t="str">
        <f t="shared" ref="AB586" si="86">B586&amp;C586</f>
        <v/>
      </c>
    </row>
    <row r="587" spans="1:28" s="264" customFormat="1" ht="20.399999999999999">
      <c r="A587" s="207"/>
      <c r="B587" s="208"/>
      <c r="C587" s="212"/>
      <c r="D587" s="270"/>
      <c r="E587" s="208"/>
      <c r="F587" s="208"/>
      <c r="G587" s="208"/>
      <c r="H587" s="209"/>
      <c r="I587" s="210"/>
      <c r="J587" s="210"/>
      <c r="K587" s="260"/>
      <c r="L587" s="260"/>
      <c r="M587" s="260"/>
      <c r="N587" s="260"/>
      <c r="O587" s="260"/>
      <c r="P587" s="211"/>
      <c r="Q587" s="261"/>
      <c r="R587" s="208" t="str">
        <f ca="1">IF(ISERROR($V587),"",OFFSET('Smelter Look-up'!$C$4,$V587-4,0)&amp;"")</f>
        <v/>
      </c>
      <c r="S587" s="215" t="str">
        <f t="shared" ref="S587:S634" ca="1" si="87">IF(B587="","",IF(ISERROR(MATCH($E587,CL,0)),"Unknown",INDIRECT("'C'!$A$"&amp;MATCH($E587,CL,0)+1)))</f>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ref="X587:X634" si="88">IF(AND(C587="Smelter not listed",OR(LEN(D587)=0,LEN(E587)=0)),1,0)</f>
        <v>0</v>
      </c>
      <c r="Y587" s="263"/>
      <c r="Z587" s="263"/>
      <c r="AB587" s="265" t="str">
        <f t="shared" ref="AB587:AB634" si="89">B587&amp;C587</f>
        <v/>
      </c>
    </row>
    <row r="588" spans="1:28" s="264" customFormat="1" ht="20.399999999999999">
      <c r="A588" s="207"/>
      <c r="B588" s="208"/>
      <c r="C588" s="212"/>
      <c r="D588" s="270"/>
      <c r="E588" s="208"/>
      <c r="F588" s="208"/>
      <c r="G588" s="208"/>
      <c r="H588" s="209"/>
      <c r="I588" s="210"/>
      <c r="J588" s="210"/>
      <c r="K588" s="260"/>
      <c r="L588" s="260"/>
      <c r="M588" s="260"/>
      <c r="N588" s="260"/>
      <c r="O588" s="260"/>
      <c r="P588" s="211"/>
      <c r="Q588" s="261"/>
      <c r="R588" s="208" t="str">
        <f ca="1">IF(ISERROR($V588),"",OFFSET('Smelter Look-up'!$C$4,$V588-4,0)&amp;"")</f>
        <v/>
      </c>
      <c r="S588" s="215" t="str">
        <f t="shared" ca="1" si="87"/>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si="88"/>
        <v>0</v>
      </c>
      <c r="Y588" s="263"/>
      <c r="Z588" s="263"/>
      <c r="AB588" s="265" t="str">
        <f t="shared" si="89"/>
        <v/>
      </c>
    </row>
    <row r="589" spans="1:28" s="264" customFormat="1" ht="20.399999999999999">
      <c r="A589" s="207"/>
      <c r="B589" s="208"/>
      <c r="C589" s="212"/>
      <c r="D589" s="270"/>
      <c r="E589" s="208"/>
      <c r="F589" s="208"/>
      <c r="G589" s="208"/>
      <c r="H589" s="209"/>
      <c r="I589" s="210"/>
      <c r="J589" s="210"/>
      <c r="K589" s="260"/>
      <c r="L589" s="260"/>
      <c r="M589" s="260"/>
      <c r="N589" s="260"/>
      <c r="O589" s="260"/>
      <c r="P589" s="211"/>
      <c r="Q589" s="261"/>
      <c r="R589" s="208" t="str">
        <f ca="1">IF(ISERROR($V589),"",OFFSET('Smelter Look-up'!$C$4,$V589-4,0)&amp;"")</f>
        <v/>
      </c>
      <c r="S589" s="215" t="str">
        <f t="shared" ca="1" si="87"/>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si="88"/>
        <v>0</v>
      </c>
      <c r="Y589" s="263"/>
      <c r="Z589" s="263"/>
      <c r="AB589" s="265" t="str">
        <f t="shared" si="89"/>
        <v/>
      </c>
    </row>
    <row r="590" spans="1:28" s="264" customFormat="1" ht="20.399999999999999">
      <c r="A590" s="207"/>
      <c r="B590" s="208"/>
      <c r="C590" s="212"/>
      <c r="D590" s="270"/>
      <c r="E590" s="208"/>
      <c r="F590" s="208"/>
      <c r="G590" s="208"/>
      <c r="H590" s="209"/>
      <c r="I590" s="210"/>
      <c r="J590" s="210"/>
      <c r="K590" s="260"/>
      <c r="L590" s="260"/>
      <c r="M590" s="260"/>
      <c r="N590" s="260"/>
      <c r="O590" s="260"/>
      <c r="P590" s="211"/>
      <c r="Q590" s="261"/>
      <c r="R590" s="208" t="str">
        <f ca="1">IF(ISERROR($V590),"",OFFSET('Smelter Look-up'!$C$4,$V590-4,0)&amp;"")</f>
        <v/>
      </c>
      <c r="S590" s="215" t="str">
        <f t="shared" ca="1" si="87"/>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si="88"/>
        <v>0</v>
      </c>
      <c r="Y590" s="263"/>
      <c r="Z590" s="263"/>
      <c r="AB590" s="265" t="str">
        <f t="shared" si="89"/>
        <v/>
      </c>
    </row>
    <row r="591" spans="1:28" s="264" customFormat="1" ht="20.399999999999999">
      <c r="A591" s="207"/>
      <c r="B591" s="208"/>
      <c r="C591" s="212"/>
      <c r="D591" s="270"/>
      <c r="E591" s="208"/>
      <c r="F591" s="208"/>
      <c r="G591" s="208"/>
      <c r="H591" s="209"/>
      <c r="I591" s="210"/>
      <c r="J591" s="210"/>
      <c r="K591" s="260"/>
      <c r="L591" s="260"/>
      <c r="M591" s="260"/>
      <c r="N591" s="260"/>
      <c r="O591" s="260"/>
      <c r="P591" s="211"/>
      <c r="Q591" s="261"/>
      <c r="R591" s="208" t="str">
        <f ca="1">IF(ISERROR($V591),"",OFFSET('Smelter Look-up'!$C$4,$V591-4,0)&amp;"")</f>
        <v/>
      </c>
      <c r="S591" s="215" t="str">
        <f t="shared" ca="1" si="87"/>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si="88"/>
        <v>0</v>
      </c>
      <c r="Y591" s="263"/>
      <c r="Z591" s="263"/>
      <c r="AB591" s="265" t="str">
        <f t="shared" si="89"/>
        <v/>
      </c>
    </row>
    <row r="592" spans="1:28" s="264" customFormat="1" ht="20.399999999999999">
      <c r="A592" s="207"/>
      <c r="B592" s="208"/>
      <c r="C592" s="212"/>
      <c r="D592" s="270"/>
      <c r="E592" s="208"/>
      <c r="F592" s="208"/>
      <c r="G592" s="208"/>
      <c r="H592" s="209"/>
      <c r="I592" s="210"/>
      <c r="J592" s="210"/>
      <c r="K592" s="260"/>
      <c r="L592" s="260"/>
      <c r="M592" s="260"/>
      <c r="N592" s="260"/>
      <c r="O592" s="260"/>
      <c r="P592" s="211"/>
      <c r="Q592" s="261"/>
      <c r="R592" s="208" t="str">
        <f ca="1">IF(ISERROR($V592),"",OFFSET('Smelter Look-up'!$C$4,$V592-4,0)&amp;"")</f>
        <v/>
      </c>
      <c r="S592" s="215" t="str">
        <f t="shared" ca="1" si="87"/>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si="88"/>
        <v>0</v>
      </c>
      <c r="Y592" s="263"/>
      <c r="Z592" s="263"/>
      <c r="AB592" s="265" t="str">
        <f t="shared" si="89"/>
        <v/>
      </c>
    </row>
    <row r="593" spans="1:28" s="264" customFormat="1" ht="20.399999999999999">
      <c r="A593" s="207"/>
      <c r="B593" s="208"/>
      <c r="C593" s="212"/>
      <c r="D593" s="270"/>
      <c r="E593" s="208"/>
      <c r="F593" s="208"/>
      <c r="G593" s="208"/>
      <c r="H593" s="209"/>
      <c r="I593" s="210"/>
      <c r="J593" s="210"/>
      <c r="K593" s="260"/>
      <c r="L593" s="260"/>
      <c r="M593" s="260"/>
      <c r="N593" s="260"/>
      <c r="O593" s="260"/>
      <c r="P593" s="211"/>
      <c r="Q593" s="261"/>
      <c r="R593" s="208" t="str">
        <f ca="1">IF(ISERROR($V593),"",OFFSET('Smelter Look-up'!$C$4,$V593-4,0)&amp;"")</f>
        <v/>
      </c>
      <c r="S593" s="215" t="str">
        <f t="shared" ca="1" si="87"/>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si="88"/>
        <v>0</v>
      </c>
      <c r="Y593" s="263"/>
      <c r="Z593" s="263"/>
      <c r="AB593" s="265" t="str">
        <f t="shared" si="89"/>
        <v/>
      </c>
    </row>
    <row r="594" spans="1:28" s="264" customFormat="1" ht="20.399999999999999">
      <c r="A594" s="207"/>
      <c r="B594" s="208"/>
      <c r="C594" s="212"/>
      <c r="D594" s="270"/>
      <c r="E594" s="208"/>
      <c r="F594" s="208"/>
      <c r="G594" s="208"/>
      <c r="H594" s="209"/>
      <c r="I594" s="210"/>
      <c r="J594" s="210"/>
      <c r="K594" s="260"/>
      <c r="L594" s="260"/>
      <c r="M594" s="260"/>
      <c r="N594" s="260"/>
      <c r="O594" s="260"/>
      <c r="P594" s="211"/>
      <c r="Q594" s="261"/>
      <c r="R594" s="208" t="str">
        <f ca="1">IF(ISERROR($V594),"",OFFSET('Smelter Look-up'!$C$4,$V594-4,0)&amp;"")</f>
        <v/>
      </c>
      <c r="S594" s="215" t="str">
        <f t="shared" ca="1" si="87"/>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si="88"/>
        <v>0</v>
      </c>
      <c r="Y594" s="263"/>
      <c r="Z594" s="263"/>
      <c r="AB594" s="265" t="str">
        <f t="shared" si="89"/>
        <v/>
      </c>
    </row>
    <row r="595" spans="1:28" s="264" customFormat="1" ht="20.399999999999999">
      <c r="A595" s="207"/>
      <c r="B595" s="208"/>
      <c r="C595" s="212"/>
      <c r="D595" s="270"/>
      <c r="E595" s="208"/>
      <c r="F595" s="208"/>
      <c r="G595" s="208"/>
      <c r="H595" s="209"/>
      <c r="I595" s="210"/>
      <c r="J595" s="210"/>
      <c r="K595" s="260"/>
      <c r="L595" s="260"/>
      <c r="M595" s="260"/>
      <c r="N595" s="260"/>
      <c r="O595" s="260"/>
      <c r="P595" s="211"/>
      <c r="Q595" s="261"/>
      <c r="R595" s="208" t="str">
        <f ca="1">IF(ISERROR($V595),"",OFFSET('Smelter Look-up'!$C$4,$V595-4,0)&amp;"")</f>
        <v/>
      </c>
      <c r="S595" s="215" t="str">
        <f t="shared" ca="1" si="87"/>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si="88"/>
        <v>0</v>
      </c>
      <c r="Y595" s="263"/>
      <c r="Z595" s="263"/>
      <c r="AB595" s="265" t="str">
        <f t="shared" si="89"/>
        <v/>
      </c>
    </row>
    <row r="596" spans="1:28" s="264" customFormat="1" ht="20.399999999999999">
      <c r="A596" s="207"/>
      <c r="B596" s="208"/>
      <c r="C596" s="212"/>
      <c r="D596" s="270"/>
      <c r="E596" s="208"/>
      <c r="F596" s="208"/>
      <c r="G596" s="208"/>
      <c r="H596" s="209"/>
      <c r="I596" s="210"/>
      <c r="J596" s="210"/>
      <c r="K596" s="260"/>
      <c r="L596" s="260"/>
      <c r="M596" s="260"/>
      <c r="N596" s="260"/>
      <c r="O596" s="260"/>
      <c r="P596" s="211"/>
      <c r="Q596" s="261"/>
      <c r="R596" s="208" t="str">
        <f ca="1">IF(ISERROR($V596),"",OFFSET('Smelter Look-up'!$C$4,$V596-4,0)&amp;"")</f>
        <v/>
      </c>
      <c r="S596" s="215" t="str">
        <f t="shared" ca="1" si="87"/>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si="88"/>
        <v>0</v>
      </c>
      <c r="Y596" s="263"/>
      <c r="Z596" s="263"/>
      <c r="AB596" s="265" t="str">
        <f t="shared" si="89"/>
        <v/>
      </c>
    </row>
    <row r="597" spans="1:28" s="264" customFormat="1" ht="20.399999999999999">
      <c r="A597" s="207"/>
      <c r="B597" s="208"/>
      <c r="C597" s="212"/>
      <c r="D597" s="270"/>
      <c r="E597" s="208"/>
      <c r="F597" s="208"/>
      <c r="G597" s="208"/>
      <c r="H597" s="209"/>
      <c r="I597" s="210"/>
      <c r="J597" s="210"/>
      <c r="K597" s="260"/>
      <c r="L597" s="260"/>
      <c r="M597" s="260"/>
      <c r="N597" s="260"/>
      <c r="O597" s="260"/>
      <c r="P597" s="211"/>
      <c r="Q597" s="261"/>
      <c r="R597" s="208" t="str">
        <f ca="1">IF(ISERROR($V597),"",OFFSET('Smelter Look-up'!$C$4,$V597-4,0)&amp;"")</f>
        <v/>
      </c>
      <c r="S597" s="215" t="str">
        <f t="shared" ca="1" si="87"/>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si="88"/>
        <v>0</v>
      </c>
      <c r="Y597" s="263"/>
      <c r="Z597" s="263"/>
      <c r="AB597" s="265" t="str">
        <f t="shared" si="89"/>
        <v/>
      </c>
    </row>
    <row r="598" spans="1:28" s="264" customFormat="1" ht="20.399999999999999">
      <c r="A598" s="207"/>
      <c r="B598" s="208"/>
      <c r="C598" s="212"/>
      <c r="D598" s="270"/>
      <c r="E598" s="208"/>
      <c r="F598" s="208"/>
      <c r="G598" s="208"/>
      <c r="H598" s="209"/>
      <c r="I598" s="210"/>
      <c r="J598" s="210"/>
      <c r="K598" s="260"/>
      <c r="L598" s="260"/>
      <c r="M598" s="260"/>
      <c r="N598" s="260"/>
      <c r="O598" s="260"/>
      <c r="P598" s="211"/>
      <c r="Q598" s="261"/>
      <c r="R598" s="208" t="str">
        <f ca="1">IF(ISERROR($V598),"",OFFSET('Smelter Look-up'!$C$4,$V598-4,0)&amp;"")</f>
        <v/>
      </c>
      <c r="S598" s="215" t="str">
        <f t="shared" ca="1" si="87"/>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si="88"/>
        <v>0</v>
      </c>
      <c r="Y598" s="263"/>
      <c r="Z598" s="263"/>
      <c r="AB598" s="265" t="str">
        <f t="shared" si="89"/>
        <v/>
      </c>
    </row>
    <row r="599" spans="1:28" s="264" customFormat="1" ht="20.399999999999999">
      <c r="A599" s="207"/>
      <c r="B599" s="208"/>
      <c r="C599" s="212"/>
      <c r="D599" s="270"/>
      <c r="E599" s="208"/>
      <c r="F599" s="208"/>
      <c r="G599" s="208"/>
      <c r="H599" s="209"/>
      <c r="I599" s="210"/>
      <c r="J599" s="210"/>
      <c r="K599" s="260"/>
      <c r="L599" s="260"/>
      <c r="M599" s="260"/>
      <c r="N599" s="260"/>
      <c r="O599" s="260"/>
      <c r="P599" s="211"/>
      <c r="Q599" s="261"/>
      <c r="R599" s="208" t="str">
        <f ca="1">IF(ISERROR($V599),"",OFFSET('Smelter Look-up'!$C$4,$V599-4,0)&amp;"")</f>
        <v/>
      </c>
      <c r="S599" s="215" t="str">
        <f t="shared" ca="1" si="87"/>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si="88"/>
        <v>0</v>
      </c>
      <c r="Y599" s="263"/>
      <c r="Z599" s="263"/>
      <c r="AB599" s="265" t="str">
        <f t="shared" si="89"/>
        <v/>
      </c>
    </row>
    <row r="600" spans="1:28" s="264" customFormat="1" ht="20.399999999999999">
      <c r="A600" s="207"/>
      <c r="B600" s="208"/>
      <c r="C600" s="212"/>
      <c r="D600" s="270"/>
      <c r="E600" s="208"/>
      <c r="F600" s="208"/>
      <c r="G600" s="208"/>
      <c r="H600" s="209"/>
      <c r="I600" s="210"/>
      <c r="J600" s="210"/>
      <c r="K600" s="260"/>
      <c r="L600" s="260"/>
      <c r="M600" s="260"/>
      <c r="N600" s="260"/>
      <c r="O600" s="260"/>
      <c r="P600" s="211"/>
      <c r="Q600" s="261"/>
      <c r="R600" s="208" t="str">
        <f ca="1">IF(ISERROR($V600),"",OFFSET('Smelter Look-up'!$C$4,$V600-4,0)&amp;"")</f>
        <v/>
      </c>
      <c r="S600" s="215" t="str">
        <f t="shared" ca="1" si="87"/>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si="88"/>
        <v>0</v>
      </c>
      <c r="Y600" s="263"/>
      <c r="Z600" s="263"/>
      <c r="AB600" s="265" t="str">
        <f t="shared" si="89"/>
        <v/>
      </c>
    </row>
    <row r="601" spans="1:28" s="264" customFormat="1" ht="20.399999999999999">
      <c r="A601" s="207"/>
      <c r="B601" s="208"/>
      <c r="C601" s="212"/>
      <c r="D601" s="270"/>
      <c r="E601" s="208"/>
      <c r="F601" s="208"/>
      <c r="G601" s="208"/>
      <c r="H601" s="209"/>
      <c r="I601" s="210"/>
      <c r="J601" s="210"/>
      <c r="K601" s="260"/>
      <c r="L601" s="260"/>
      <c r="M601" s="260"/>
      <c r="N601" s="260"/>
      <c r="O601" s="260"/>
      <c r="P601" s="211"/>
      <c r="Q601" s="261"/>
      <c r="R601" s="208" t="str">
        <f ca="1">IF(ISERROR($V601),"",OFFSET('Smelter Look-up'!$C$4,$V601-4,0)&amp;"")</f>
        <v/>
      </c>
      <c r="S601" s="215" t="str">
        <f t="shared" ca="1" si="87"/>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si="88"/>
        <v>0</v>
      </c>
      <c r="Y601" s="263"/>
      <c r="Z601" s="263"/>
      <c r="AB601" s="265" t="str">
        <f t="shared" si="89"/>
        <v/>
      </c>
    </row>
    <row r="602" spans="1:28" s="264" customFormat="1" ht="20.399999999999999">
      <c r="A602" s="207"/>
      <c r="B602" s="208"/>
      <c r="C602" s="212"/>
      <c r="D602" s="270"/>
      <c r="E602" s="208"/>
      <c r="F602" s="208"/>
      <c r="G602" s="208"/>
      <c r="H602" s="209"/>
      <c r="I602" s="210"/>
      <c r="J602" s="210"/>
      <c r="K602" s="260"/>
      <c r="L602" s="260"/>
      <c r="M602" s="260"/>
      <c r="N602" s="260"/>
      <c r="O602" s="260"/>
      <c r="P602" s="211"/>
      <c r="Q602" s="261"/>
      <c r="R602" s="208" t="str">
        <f ca="1">IF(ISERROR($V602),"",OFFSET('Smelter Look-up'!$C$4,$V602-4,0)&amp;"")</f>
        <v/>
      </c>
      <c r="S602" s="215" t="str">
        <f t="shared" ca="1" si="87"/>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si="88"/>
        <v>0</v>
      </c>
      <c r="Y602" s="263"/>
      <c r="Z602" s="263"/>
      <c r="AB602" s="265" t="str">
        <f t="shared" si="89"/>
        <v/>
      </c>
    </row>
    <row r="603" spans="1:28" s="264" customFormat="1" ht="20.399999999999999">
      <c r="A603" s="207"/>
      <c r="B603" s="208"/>
      <c r="C603" s="212"/>
      <c r="D603" s="270"/>
      <c r="E603" s="208"/>
      <c r="F603" s="208"/>
      <c r="G603" s="208"/>
      <c r="H603" s="209"/>
      <c r="I603" s="210"/>
      <c r="J603" s="210"/>
      <c r="K603" s="260"/>
      <c r="L603" s="260"/>
      <c r="M603" s="260"/>
      <c r="N603" s="260"/>
      <c r="O603" s="260"/>
      <c r="P603" s="211"/>
      <c r="Q603" s="261"/>
      <c r="R603" s="208" t="str">
        <f ca="1">IF(ISERROR($V603),"",OFFSET('Smelter Look-up'!$C$4,$V603-4,0)&amp;"")</f>
        <v/>
      </c>
      <c r="S603" s="215" t="str">
        <f t="shared" ca="1" si="87"/>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si="88"/>
        <v>0</v>
      </c>
      <c r="Y603" s="263"/>
      <c r="Z603" s="263"/>
      <c r="AB603" s="265" t="str">
        <f t="shared" si="89"/>
        <v/>
      </c>
    </row>
    <row r="604" spans="1:28" s="264" customFormat="1" ht="20.399999999999999">
      <c r="A604" s="207"/>
      <c r="B604" s="208"/>
      <c r="C604" s="212"/>
      <c r="D604" s="270"/>
      <c r="E604" s="208"/>
      <c r="F604" s="208"/>
      <c r="G604" s="208"/>
      <c r="H604" s="209"/>
      <c r="I604" s="210"/>
      <c r="J604" s="210"/>
      <c r="K604" s="260"/>
      <c r="L604" s="260"/>
      <c r="M604" s="260"/>
      <c r="N604" s="260"/>
      <c r="O604" s="260"/>
      <c r="P604" s="211"/>
      <c r="Q604" s="261"/>
      <c r="R604" s="208" t="str">
        <f ca="1">IF(ISERROR($V604),"",OFFSET('Smelter Look-up'!$C$4,$V604-4,0)&amp;"")</f>
        <v/>
      </c>
      <c r="S604" s="215" t="str">
        <f t="shared" ca="1" si="87"/>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si="88"/>
        <v>0</v>
      </c>
      <c r="Y604" s="263"/>
      <c r="Z604" s="263"/>
      <c r="AB604" s="265" t="str">
        <f t="shared" si="89"/>
        <v/>
      </c>
    </row>
    <row r="605" spans="1:28" s="264" customFormat="1" ht="20.399999999999999">
      <c r="A605" s="207"/>
      <c r="B605" s="208"/>
      <c r="C605" s="212"/>
      <c r="D605" s="270"/>
      <c r="E605" s="208"/>
      <c r="F605" s="208"/>
      <c r="G605" s="208"/>
      <c r="H605" s="209"/>
      <c r="I605" s="210"/>
      <c r="J605" s="210"/>
      <c r="K605" s="260"/>
      <c r="L605" s="260"/>
      <c r="M605" s="260"/>
      <c r="N605" s="260"/>
      <c r="O605" s="260"/>
      <c r="P605" s="211"/>
      <c r="Q605" s="261"/>
      <c r="R605" s="208" t="str">
        <f ca="1">IF(ISERROR($V605),"",OFFSET('Smelter Look-up'!$C$4,$V605-4,0)&amp;"")</f>
        <v/>
      </c>
      <c r="S605" s="215" t="str">
        <f t="shared" ca="1" si="87"/>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si="88"/>
        <v>0</v>
      </c>
      <c r="Y605" s="263"/>
      <c r="Z605" s="263"/>
      <c r="AB605" s="265" t="str">
        <f t="shared" si="89"/>
        <v/>
      </c>
    </row>
    <row r="606" spans="1:28" s="264" customFormat="1" ht="20.399999999999999">
      <c r="A606" s="207"/>
      <c r="B606" s="208"/>
      <c r="C606" s="212"/>
      <c r="D606" s="270"/>
      <c r="E606" s="208"/>
      <c r="F606" s="208"/>
      <c r="G606" s="208"/>
      <c r="H606" s="209"/>
      <c r="I606" s="210"/>
      <c r="J606" s="210"/>
      <c r="K606" s="260"/>
      <c r="L606" s="260"/>
      <c r="M606" s="260"/>
      <c r="N606" s="260"/>
      <c r="O606" s="260"/>
      <c r="P606" s="211"/>
      <c r="Q606" s="261"/>
      <c r="R606" s="208" t="str">
        <f ca="1">IF(ISERROR($V606),"",OFFSET('Smelter Look-up'!$C$4,$V606-4,0)&amp;"")</f>
        <v/>
      </c>
      <c r="S606" s="215" t="str">
        <f t="shared" ca="1" si="87"/>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si="88"/>
        <v>0</v>
      </c>
      <c r="Y606" s="263"/>
      <c r="Z606" s="263"/>
      <c r="AB606" s="265" t="str">
        <f t="shared" si="89"/>
        <v/>
      </c>
    </row>
    <row r="607" spans="1:28" s="264" customFormat="1" ht="20.399999999999999">
      <c r="A607" s="207"/>
      <c r="B607" s="208"/>
      <c r="C607" s="212"/>
      <c r="D607" s="270"/>
      <c r="E607" s="208"/>
      <c r="F607" s="208"/>
      <c r="G607" s="208"/>
      <c r="H607" s="209"/>
      <c r="I607" s="210"/>
      <c r="J607" s="210"/>
      <c r="K607" s="260"/>
      <c r="L607" s="260"/>
      <c r="M607" s="260"/>
      <c r="N607" s="260"/>
      <c r="O607" s="260"/>
      <c r="P607" s="211"/>
      <c r="Q607" s="261"/>
      <c r="R607" s="208" t="str">
        <f ca="1">IF(ISERROR($V607),"",OFFSET('Smelter Look-up'!$C$4,$V607-4,0)&amp;"")</f>
        <v/>
      </c>
      <c r="S607" s="215" t="str">
        <f t="shared" ca="1" si="87"/>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si="88"/>
        <v>0</v>
      </c>
      <c r="Y607" s="263"/>
      <c r="Z607" s="263"/>
      <c r="AB607" s="265" t="str">
        <f t="shared" si="89"/>
        <v/>
      </c>
    </row>
    <row r="608" spans="1:28" s="264" customFormat="1" ht="20.399999999999999">
      <c r="A608" s="207"/>
      <c r="B608" s="208"/>
      <c r="C608" s="212"/>
      <c r="D608" s="270"/>
      <c r="E608" s="208"/>
      <c r="F608" s="208"/>
      <c r="G608" s="208"/>
      <c r="H608" s="209"/>
      <c r="I608" s="210"/>
      <c r="J608" s="210"/>
      <c r="K608" s="260"/>
      <c r="L608" s="260"/>
      <c r="M608" s="260"/>
      <c r="N608" s="260"/>
      <c r="O608" s="260"/>
      <c r="P608" s="211"/>
      <c r="Q608" s="261"/>
      <c r="R608" s="208" t="str">
        <f ca="1">IF(ISERROR($V608),"",OFFSET('Smelter Look-up'!$C$4,$V608-4,0)&amp;"")</f>
        <v/>
      </c>
      <c r="S608" s="215" t="str">
        <f t="shared" ca="1" si="87"/>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si="88"/>
        <v>0</v>
      </c>
      <c r="Y608" s="263"/>
      <c r="Z608" s="263"/>
      <c r="AB608" s="265" t="str">
        <f t="shared" si="89"/>
        <v/>
      </c>
    </row>
    <row r="609" spans="1:28" s="264" customFormat="1" ht="20.399999999999999">
      <c r="A609" s="207"/>
      <c r="B609" s="208"/>
      <c r="C609" s="212"/>
      <c r="D609" s="270"/>
      <c r="E609" s="208"/>
      <c r="F609" s="208"/>
      <c r="G609" s="208"/>
      <c r="H609" s="209"/>
      <c r="I609" s="210"/>
      <c r="J609" s="210"/>
      <c r="K609" s="260"/>
      <c r="L609" s="260"/>
      <c r="M609" s="260"/>
      <c r="N609" s="260"/>
      <c r="O609" s="260"/>
      <c r="P609" s="211"/>
      <c r="Q609" s="261"/>
      <c r="R609" s="208" t="str">
        <f ca="1">IF(ISERROR($V609),"",OFFSET('Smelter Look-up'!$C$4,$V609-4,0)&amp;"")</f>
        <v/>
      </c>
      <c r="S609" s="215" t="str">
        <f t="shared" ca="1" si="87"/>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si="88"/>
        <v>0</v>
      </c>
      <c r="Y609" s="263"/>
      <c r="Z609" s="263"/>
      <c r="AB609" s="265" t="str">
        <f t="shared" si="89"/>
        <v/>
      </c>
    </row>
    <row r="610" spans="1:28" s="264" customFormat="1" ht="20.399999999999999">
      <c r="A610" s="207"/>
      <c r="B610" s="208"/>
      <c r="C610" s="212"/>
      <c r="D610" s="270"/>
      <c r="E610" s="208"/>
      <c r="F610" s="208"/>
      <c r="G610" s="208"/>
      <c r="H610" s="209"/>
      <c r="I610" s="210"/>
      <c r="J610" s="210"/>
      <c r="K610" s="260"/>
      <c r="L610" s="260"/>
      <c r="M610" s="260"/>
      <c r="N610" s="260"/>
      <c r="O610" s="260"/>
      <c r="P610" s="211"/>
      <c r="Q610" s="261"/>
      <c r="R610" s="208" t="str">
        <f ca="1">IF(ISERROR($V610),"",OFFSET('Smelter Look-up'!$C$4,$V610-4,0)&amp;"")</f>
        <v/>
      </c>
      <c r="S610" s="215" t="str">
        <f t="shared" ca="1" si="87"/>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si="88"/>
        <v>0</v>
      </c>
      <c r="Y610" s="263"/>
      <c r="Z610" s="263"/>
      <c r="AB610" s="265" t="str">
        <f t="shared" si="89"/>
        <v/>
      </c>
    </row>
    <row r="611" spans="1:28" s="264" customFormat="1" ht="20.399999999999999">
      <c r="A611" s="207"/>
      <c r="B611" s="208"/>
      <c r="C611" s="212"/>
      <c r="D611" s="270"/>
      <c r="E611" s="208"/>
      <c r="F611" s="208"/>
      <c r="G611" s="208"/>
      <c r="H611" s="209"/>
      <c r="I611" s="210"/>
      <c r="J611" s="210"/>
      <c r="K611" s="260"/>
      <c r="L611" s="260"/>
      <c r="M611" s="260"/>
      <c r="N611" s="260"/>
      <c r="O611" s="260"/>
      <c r="P611" s="211"/>
      <c r="Q611" s="261"/>
      <c r="R611" s="208" t="str">
        <f ca="1">IF(ISERROR($V611),"",OFFSET('Smelter Look-up'!$C$4,$V611-4,0)&amp;"")</f>
        <v/>
      </c>
      <c r="S611" s="215" t="str">
        <f t="shared" ca="1" si="87"/>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si="88"/>
        <v>0</v>
      </c>
      <c r="Y611" s="263"/>
      <c r="Z611" s="263"/>
      <c r="AB611" s="265" t="str">
        <f t="shared" si="89"/>
        <v/>
      </c>
    </row>
    <row r="612" spans="1:28" s="264" customFormat="1" ht="20.399999999999999">
      <c r="A612" s="207"/>
      <c r="B612" s="208"/>
      <c r="C612" s="212"/>
      <c r="D612" s="270"/>
      <c r="E612" s="208"/>
      <c r="F612" s="208"/>
      <c r="G612" s="208"/>
      <c r="H612" s="209"/>
      <c r="I612" s="210"/>
      <c r="J612" s="210"/>
      <c r="K612" s="260"/>
      <c r="L612" s="260"/>
      <c r="M612" s="260"/>
      <c r="N612" s="260"/>
      <c r="O612" s="260"/>
      <c r="P612" s="211"/>
      <c r="Q612" s="261"/>
      <c r="R612" s="208" t="str">
        <f ca="1">IF(ISERROR($V612),"",OFFSET('Smelter Look-up'!$C$4,$V612-4,0)&amp;"")</f>
        <v/>
      </c>
      <c r="S612" s="215" t="str">
        <f t="shared" ca="1" si="87"/>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si="88"/>
        <v>0</v>
      </c>
      <c r="Y612" s="263"/>
      <c r="Z612" s="263"/>
      <c r="AB612" s="265" t="str">
        <f t="shared" si="89"/>
        <v/>
      </c>
    </row>
    <row r="613" spans="1:28" s="264" customFormat="1" ht="20.399999999999999">
      <c r="A613" s="207"/>
      <c r="B613" s="208"/>
      <c r="C613" s="212"/>
      <c r="D613" s="270"/>
      <c r="E613" s="208"/>
      <c r="F613" s="208"/>
      <c r="G613" s="208"/>
      <c r="H613" s="209"/>
      <c r="I613" s="210"/>
      <c r="J613" s="210"/>
      <c r="K613" s="260"/>
      <c r="L613" s="260"/>
      <c r="M613" s="260"/>
      <c r="N613" s="260"/>
      <c r="O613" s="260"/>
      <c r="P613" s="211"/>
      <c r="Q613" s="261"/>
      <c r="R613" s="208" t="str">
        <f ca="1">IF(ISERROR($V613),"",OFFSET('Smelter Look-up'!$C$4,$V613-4,0)&amp;"")</f>
        <v/>
      </c>
      <c r="S613" s="215" t="str">
        <f t="shared" ca="1" si="87"/>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si="88"/>
        <v>0</v>
      </c>
      <c r="Y613" s="263"/>
      <c r="Z613" s="263"/>
      <c r="AB613" s="265" t="str">
        <f t="shared" si="89"/>
        <v/>
      </c>
    </row>
    <row r="614" spans="1:28" s="264" customFormat="1" ht="20.399999999999999">
      <c r="A614" s="207"/>
      <c r="B614" s="208"/>
      <c r="C614" s="212"/>
      <c r="D614" s="270"/>
      <c r="E614" s="208"/>
      <c r="F614" s="208"/>
      <c r="G614" s="208"/>
      <c r="H614" s="209"/>
      <c r="I614" s="210"/>
      <c r="J614" s="210"/>
      <c r="K614" s="260"/>
      <c r="L614" s="260"/>
      <c r="M614" s="260"/>
      <c r="N614" s="260"/>
      <c r="O614" s="260"/>
      <c r="P614" s="211"/>
      <c r="Q614" s="261"/>
      <c r="R614" s="208" t="str">
        <f ca="1">IF(ISERROR($V614),"",OFFSET('Smelter Look-up'!$C$4,$V614-4,0)&amp;"")</f>
        <v/>
      </c>
      <c r="S614" s="215" t="str">
        <f t="shared" ca="1" si="87"/>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si="88"/>
        <v>0</v>
      </c>
      <c r="Y614" s="263"/>
      <c r="Z614" s="263"/>
      <c r="AB614" s="265" t="str">
        <f t="shared" si="89"/>
        <v/>
      </c>
    </row>
    <row r="615" spans="1:28" s="264" customFormat="1" ht="20.399999999999999">
      <c r="A615" s="207"/>
      <c r="B615" s="208"/>
      <c r="C615" s="212"/>
      <c r="D615" s="270"/>
      <c r="E615" s="208"/>
      <c r="F615" s="208"/>
      <c r="G615" s="208"/>
      <c r="H615" s="209"/>
      <c r="I615" s="210"/>
      <c r="J615" s="210"/>
      <c r="K615" s="260"/>
      <c r="L615" s="260"/>
      <c r="M615" s="260"/>
      <c r="N615" s="260"/>
      <c r="O615" s="260"/>
      <c r="P615" s="211"/>
      <c r="Q615" s="261"/>
      <c r="R615" s="208" t="str">
        <f ca="1">IF(ISERROR($V615),"",OFFSET('Smelter Look-up'!$C$4,$V615-4,0)&amp;"")</f>
        <v/>
      </c>
      <c r="S615" s="215" t="str">
        <f t="shared" ca="1" si="87"/>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si="88"/>
        <v>0</v>
      </c>
      <c r="Y615" s="263"/>
      <c r="Z615" s="263"/>
      <c r="AB615" s="265" t="str">
        <f t="shared" si="89"/>
        <v/>
      </c>
    </row>
    <row r="616" spans="1:28" s="264" customFormat="1" ht="20.399999999999999">
      <c r="A616" s="207"/>
      <c r="B616" s="208"/>
      <c r="C616" s="212"/>
      <c r="D616" s="270"/>
      <c r="E616" s="208"/>
      <c r="F616" s="208"/>
      <c r="G616" s="208"/>
      <c r="H616" s="209"/>
      <c r="I616" s="210"/>
      <c r="J616" s="210"/>
      <c r="K616" s="260"/>
      <c r="L616" s="260"/>
      <c r="M616" s="260"/>
      <c r="N616" s="260"/>
      <c r="O616" s="260"/>
      <c r="P616" s="211"/>
      <c r="Q616" s="261"/>
      <c r="R616" s="208" t="str">
        <f ca="1">IF(ISERROR($V616),"",OFFSET('Smelter Look-up'!$C$4,$V616-4,0)&amp;"")</f>
        <v/>
      </c>
      <c r="S616" s="215" t="str">
        <f t="shared" ca="1" si="87"/>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si="88"/>
        <v>0</v>
      </c>
      <c r="Y616" s="263"/>
      <c r="Z616" s="263"/>
      <c r="AB616" s="265" t="str">
        <f t="shared" si="89"/>
        <v/>
      </c>
    </row>
    <row r="617" spans="1:28" s="264" customFormat="1" ht="20.399999999999999">
      <c r="A617" s="207"/>
      <c r="B617" s="208"/>
      <c r="C617" s="212"/>
      <c r="D617" s="270"/>
      <c r="E617" s="208"/>
      <c r="F617" s="208"/>
      <c r="G617" s="208"/>
      <c r="H617" s="209"/>
      <c r="I617" s="210"/>
      <c r="J617" s="210"/>
      <c r="K617" s="260"/>
      <c r="L617" s="260"/>
      <c r="M617" s="260"/>
      <c r="N617" s="260"/>
      <c r="O617" s="260"/>
      <c r="P617" s="211"/>
      <c r="Q617" s="261"/>
      <c r="R617" s="208" t="str">
        <f ca="1">IF(ISERROR($V617),"",OFFSET('Smelter Look-up'!$C$4,$V617-4,0)&amp;"")</f>
        <v/>
      </c>
      <c r="S617" s="215" t="str">
        <f t="shared" ca="1" si="87"/>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si="88"/>
        <v>0</v>
      </c>
      <c r="Y617" s="263"/>
      <c r="Z617" s="263"/>
      <c r="AB617" s="265" t="str">
        <f t="shared" si="89"/>
        <v/>
      </c>
    </row>
    <row r="618" spans="1:28" s="264" customFormat="1" ht="20.399999999999999">
      <c r="A618" s="207"/>
      <c r="B618" s="208"/>
      <c r="C618" s="212"/>
      <c r="D618" s="270"/>
      <c r="E618" s="208"/>
      <c r="F618" s="208"/>
      <c r="G618" s="208"/>
      <c r="H618" s="209"/>
      <c r="I618" s="210"/>
      <c r="J618" s="210"/>
      <c r="K618" s="260"/>
      <c r="L618" s="260"/>
      <c r="M618" s="260"/>
      <c r="N618" s="260"/>
      <c r="O618" s="260"/>
      <c r="P618" s="211"/>
      <c r="Q618" s="261"/>
      <c r="R618" s="208" t="str">
        <f ca="1">IF(ISERROR($V618),"",OFFSET('Smelter Look-up'!$C$4,$V618-4,0)&amp;"")</f>
        <v/>
      </c>
      <c r="S618" s="215" t="str">
        <f t="shared" ca="1" si="87"/>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si="88"/>
        <v>0</v>
      </c>
      <c r="Y618" s="263"/>
      <c r="Z618" s="263"/>
      <c r="AB618" s="265" t="str">
        <f t="shared" si="89"/>
        <v/>
      </c>
    </row>
    <row r="619" spans="1:28" s="264" customFormat="1" ht="20.399999999999999">
      <c r="A619" s="207"/>
      <c r="B619" s="208"/>
      <c r="C619" s="212"/>
      <c r="D619" s="270"/>
      <c r="E619" s="208"/>
      <c r="F619" s="208"/>
      <c r="G619" s="208"/>
      <c r="H619" s="209"/>
      <c r="I619" s="210"/>
      <c r="J619" s="210"/>
      <c r="K619" s="260"/>
      <c r="L619" s="260"/>
      <c r="M619" s="260"/>
      <c r="N619" s="260"/>
      <c r="O619" s="260"/>
      <c r="P619" s="211"/>
      <c r="Q619" s="261"/>
      <c r="R619" s="208" t="str">
        <f ca="1">IF(ISERROR($V619),"",OFFSET('Smelter Look-up'!$C$4,$V619-4,0)&amp;"")</f>
        <v/>
      </c>
      <c r="S619" s="215" t="str">
        <f t="shared" ca="1" si="87"/>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si="88"/>
        <v>0</v>
      </c>
      <c r="Y619" s="263"/>
      <c r="Z619" s="263"/>
      <c r="AB619" s="265" t="str">
        <f t="shared" si="89"/>
        <v/>
      </c>
    </row>
    <row r="620" spans="1:28" s="264" customFormat="1" ht="20.399999999999999">
      <c r="A620" s="207"/>
      <c r="B620" s="208"/>
      <c r="C620" s="212"/>
      <c r="D620" s="270"/>
      <c r="E620" s="208"/>
      <c r="F620" s="208"/>
      <c r="G620" s="208"/>
      <c r="H620" s="209"/>
      <c r="I620" s="210"/>
      <c r="J620" s="210"/>
      <c r="K620" s="260"/>
      <c r="L620" s="260"/>
      <c r="M620" s="260"/>
      <c r="N620" s="260"/>
      <c r="O620" s="260"/>
      <c r="P620" s="211"/>
      <c r="Q620" s="261"/>
      <c r="R620" s="208" t="str">
        <f ca="1">IF(ISERROR($V620),"",OFFSET('Smelter Look-up'!$C$4,$V620-4,0)&amp;"")</f>
        <v/>
      </c>
      <c r="S620" s="215" t="str">
        <f t="shared" ca="1" si="87"/>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si="88"/>
        <v>0</v>
      </c>
      <c r="Y620" s="263"/>
      <c r="Z620" s="263"/>
      <c r="AB620" s="265" t="str">
        <f t="shared" si="89"/>
        <v/>
      </c>
    </row>
    <row r="621" spans="1:28" s="264" customFormat="1" ht="20.399999999999999">
      <c r="A621" s="207"/>
      <c r="B621" s="208"/>
      <c r="C621" s="212"/>
      <c r="D621" s="270"/>
      <c r="E621" s="208"/>
      <c r="F621" s="208"/>
      <c r="G621" s="208"/>
      <c r="H621" s="209"/>
      <c r="I621" s="210"/>
      <c r="J621" s="210"/>
      <c r="K621" s="260"/>
      <c r="L621" s="260"/>
      <c r="M621" s="260"/>
      <c r="N621" s="260"/>
      <c r="O621" s="260"/>
      <c r="P621" s="211"/>
      <c r="Q621" s="261"/>
      <c r="R621" s="208" t="str">
        <f ca="1">IF(ISERROR($V621),"",OFFSET('Smelter Look-up'!$C$4,$V621-4,0)&amp;"")</f>
        <v/>
      </c>
      <c r="S621" s="215" t="str">
        <f t="shared" ca="1" si="87"/>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si="88"/>
        <v>0</v>
      </c>
      <c r="Y621" s="263"/>
      <c r="Z621" s="263"/>
      <c r="AB621" s="265" t="str">
        <f t="shared" si="89"/>
        <v/>
      </c>
    </row>
    <row r="622" spans="1:28" s="264" customFormat="1" ht="20.399999999999999">
      <c r="A622" s="207"/>
      <c r="B622" s="208"/>
      <c r="C622" s="212"/>
      <c r="D622" s="270"/>
      <c r="E622" s="208"/>
      <c r="F622" s="208"/>
      <c r="G622" s="208"/>
      <c r="H622" s="209"/>
      <c r="I622" s="210"/>
      <c r="J622" s="210"/>
      <c r="K622" s="260"/>
      <c r="L622" s="260"/>
      <c r="M622" s="260"/>
      <c r="N622" s="260"/>
      <c r="O622" s="260"/>
      <c r="P622" s="211"/>
      <c r="Q622" s="261"/>
      <c r="R622" s="208" t="str">
        <f ca="1">IF(ISERROR($V622),"",OFFSET('Smelter Look-up'!$C$4,$V622-4,0)&amp;"")</f>
        <v/>
      </c>
      <c r="S622" s="215" t="str">
        <f t="shared" ca="1" si="87"/>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si="88"/>
        <v>0</v>
      </c>
      <c r="Y622" s="263"/>
      <c r="Z622" s="263"/>
      <c r="AB622" s="265" t="str">
        <f t="shared" si="89"/>
        <v/>
      </c>
    </row>
    <row r="623" spans="1:28" s="264" customFormat="1" ht="20.399999999999999">
      <c r="A623" s="207"/>
      <c r="B623" s="208"/>
      <c r="C623" s="212"/>
      <c r="D623" s="270"/>
      <c r="E623" s="208"/>
      <c r="F623" s="208"/>
      <c r="G623" s="208"/>
      <c r="H623" s="209"/>
      <c r="I623" s="210"/>
      <c r="J623" s="210"/>
      <c r="K623" s="260"/>
      <c r="L623" s="260"/>
      <c r="M623" s="260"/>
      <c r="N623" s="260"/>
      <c r="O623" s="260"/>
      <c r="P623" s="211"/>
      <c r="Q623" s="261"/>
      <c r="R623" s="208" t="str">
        <f ca="1">IF(ISERROR($V623),"",OFFSET('Smelter Look-up'!$C$4,$V623-4,0)&amp;"")</f>
        <v/>
      </c>
      <c r="S623" s="215" t="str">
        <f t="shared" ca="1" si="87"/>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si="88"/>
        <v>0</v>
      </c>
      <c r="Y623" s="263"/>
      <c r="Z623" s="263"/>
      <c r="AB623" s="265" t="str">
        <f t="shared" si="89"/>
        <v/>
      </c>
    </row>
    <row r="624" spans="1:28" s="264" customFormat="1" ht="20.399999999999999">
      <c r="A624" s="207"/>
      <c r="B624" s="208"/>
      <c r="C624" s="212"/>
      <c r="D624" s="270"/>
      <c r="E624" s="208"/>
      <c r="F624" s="208"/>
      <c r="G624" s="208"/>
      <c r="H624" s="209"/>
      <c r="I624" s="210"/>
      <c r="J624" s="210"/>
      <c r="K624" s="260"/>
      <c r="L624" s="260"/>
      <c r="M624" s="260"/>
      <c r="N624" s="260"/>
      <c r="O624" s="260"/>
      <c r="P624" s="211"/>
      <c r="Q624" s="261"/>
      <c r="R624" s="208" t="str">
        <f ca="1">IF(ISERROR($V624),"",OFFSET('Smelter Look-up'!$C$4,$V624-4,0)&amp;"")</f>
        <v/>
      </c>
      <c r="S624" s="215" t="str">
        <f t="shared" ca="1" si="87"/>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si="88"/>
        <v>0</v>
      </c>
      <c r="Y624" s="263"/>
      <c r="Z624" s="263"/>
      <c r="AB624" s="265" t="str">
        <f t="shared" si="89"/>
        <v/>
      </c>
    </row>
    <row r="625" spans="1:28" s="264" customFormat="1" ht="20.399999999999999">
      <c r="A625" s="207"/>
      <c r="B625" s="208"/>
      <c r="C625" s="212"/>
      <c r="D625" s="270"/>
      <c r="E625" s="208"/>
      <c r="F625" s="208"/>
      <c r="G625" s="208"/>
      <c r="H625" s="209"/>
      <c r="I625" s="210"/>
      <c r="J625" s="210"/>
      <c r="K625" s="260"/>
      <c r="L625" s="260"/>
      <c r="M625" s="260"/>
      <c r="N625" s="260"/>
      <c r="O625" s="260"/>
      <c r="P625" s="211"/>
      <c r="Q625" s="261"/>
      <c r="R625" s="208" t="str">
        <f ca="1">IF(ISERROR($V625),"",OFFSET('Smelter Look-up'!$C$4,$V625-4,0)&amp;"")</f>
        <v/>
      </c>
      <c r="S625" s="215" t="str">
        <f t="shared" ca="1" si="87"/>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si="88"/>
        <v>0</v>
      </c>
      <c r="Y625" s="263"/>
      <c r="Z625" s="263"/>
      <c r="AB625" s="265" t="str">
        <f t="shared" si="89"/>
        <v/>
      </c>
    </row>
    <row r="626" spans="1:28" s="264" customFormat="1" ht="20.399999999999999">
      <c r="A626" s="207"/>
      <c r="B626" s="208"/>
      <c r="C626" s="212"/>
      <c r="D626" s="270"/>
      <c r="E626" s="208"/>
      <c r="F626" s="208"/>
      <c r="G626" s="208"/>
      <c r="H626" s="209"/>
      <c r="I626" s="210"/>
      <c r="J626" s="210"/>
      <c r="K626" s="260"/>
      <c r="L626" s="260"/>
      <c r="M626" s="260"/>
      <c r="N626" s="260"/>
      <c r="O626" s="260"/>
      <c r="P626" s="211"/>
      <c r="Q626" s="261"/>
      <c r="R626" s="208" t="str">
        <f ca="1">IF(ISERROR($V626),"",OFFSET('Smelter Look-up'!$C$4,$V626-4,0)&amp;"")</f>
        <v/>
      </c>
      <c r="S626" s="215" t="str">
        <f t="shared" ca="1" si="87"/>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si="88"/>
        <v>0</v>
      </c>
      <c r="Y626" s="263"/>
      <c r="Z626" s="263"/>
      <c r="AB626" s="265" t="str">
        <f t="shared" si="89"/>
        <v/>
      </c>
    </row>
    <row r="627" spans="1:28" s="264" customFormat="1" ht="20.399999999999999">
      <c r="A627" s="207"/>
      <c r="B627" s="208"/>
      <c r="C627" s="212"/>
      <c r="D627" s="270"/>
      <c r="E627" s="208"/>
      <c r="F627" s="208"/>
      <c r="G627" s="208"/>
      <c r="H627" s="209"/>
      <c r="I627" s="210"/>
      <c r="J627" s="210"/>
      <c r="K627" s="260"/>
      <c r="L627" s="260"/>
      <c r="M627" s="260"/>
      <c r="N627" s="260"/>
      <c r="O627" s="260"/>
      <c r="P627" s="211"/>
      <c r="Q627" s="261"/>
      <c r="R627" s="208" t="str">
        <f ca="1">IF(ISERROR($V627),"",OFFSET('Smelter Look-up'!$C$4,$V627-4,0)&amp;"")</f>
        <v/>
      </c>
      <c r="S627" s="215" t="str">
        <f t="shared" ca="1" si="87"/>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si="88"/>
        <v>0</v>
      </c>
      <c r="Y627" s="263"/>
      <c r="Z627" s="263"/>
      <c r="AB627" s="265" t="str">
        <f t="shared" si="89"/>
        <v/>
      </c>
    </row>
    <row r="628" spans="1:28" s="264" customFormat="1" ht="20.399999999999999">
      <c r="A628" s="207"/>
      <c r="B628" s="208"/>
      <c r="C628" s="212"/>
      <c r="D628" s="270"/>
      <c r="E628" s="208"/>
      <c r="F628" s="208"/>
      <c r="G628" s="208"/>
      <c r="H628" s="209"/>
      <c r="I628" s="210"/>
      <c r="J628" s="210"/>
      <c r="K628" s="260"/>
      <c r="L628" s="260"/>
      <c r="M628" s="260"/>
      <c r="N628" s="260"/>
      <c r="O628" s="260"/>
      <c r="P628" s="211"/>
      <c r="Q628" s="261"/>
      <c r="R628" s="208" t="str">
        <f ca="1">IF(ISERROR($V628),"",OFFSET('Smelter Look-up'!$C$4,$V628-4,0)&amp;"")</f>
        <v/>
      </c>
      <c r="S628" s="215" t="str">
        <f t="shared" ca="1" si="87"/>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si="88"/>
        <v>0</v>
      </c>
      <c r="Y628" s="263"/>
      <c r="Z628" s="263"/>
      <c r="AB628" s="265" t="str">
        <f t="shared" si="89"/>
        <v/>
      </c>
    </row>
    <row r="629" spans="1:28" s="264" customFormat="1" ht="20.399999999999999">
      <c r="A629" s="207"/>
      <c r="B629" s="208"/>
      <c r="C629" s="212"/>
      <c r="D629" s="270"/>
      <c r="E629" s="208"/>
      <c r="F629" s="208"/>
      <c r="G629" s="208"/>
      <c r="H629" s="209"/>
      <c r="I629" s="210"/>
      <c r="J629" s="210"/>
      <c r="K629" s="260"/>
      <c r="L629" s="260"/>
      <c r="M629" s="260"/>
      <c r="N629" s="260"/>
      <c r="O629" s="260"/>
      <c r="P629" s="211"/>
      <c r="Q629" s="261"/>
      <c r="R629" s="208" t="str">
        <f ca="1">IF(ISERROR($V629),"",OFFSET('Smelter Look-up'!$C$4,$V629-4,0)&amp;"")</f>
        <v/>
      </c>
      <c r="S629" s="215" t="str">
        <f t="shared" ca="1" si="87"/>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si="88"/>
        <v>0</v>
      </c>
      <c r="Y629" s="263"/>
      <c r="Z629" s="263"/>
      <c r="AB629" s="265" t="str">
        <f t="shared" si="89"/>
        <v/>
      </c>
    </row>
    <row r="630" spans="1:28" s="264" customFormat="1" ht="20.399999999999999">
      <c r="A630" s="207"/>
      <c r="B630" s="208"/>
      <c r="C630" s="212"/>
      <c r="D630" s="270"/>
      <c r="E630" s="208"/>
      <c r="F630" s="208"/>
      <c r="G630" s="208"/>
      <c r="H630" s="209"/>
      <c r="I630" s="210"/>
      <c r="J630" s="210"/>
      <c r="K630" s="260"/>
      <c r="L630" s="260"/>
      <c r="M630" s="260"/>
      <c r="N630" s="260"/>
      <c r="O630" s="260"/>
      <c r="P630" s="211"/>
      <c r="Q630" s="261"/>
      <c r="R630" s="208" t="str">
        <f ca="1">IF(ISERROR($V630),"",OFFSET('Smelter Look-up'!$C$4,$V630-4,0)&amp;"")</f>
        <v/>
      </c>
      <c r="S630" s="215" t="str">
        <f t="shared" ca="1" si="87"/>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si="88"/>
        <v>0</v>
      </c>
      <c r="Y630" s="263"/>
      <c r="Z630" s="263"/>
      <c r="AB630" s="265" t="str">
        <f t="shared" si="89"/>
        <v/>
      </c>
    </row>
    <row r="631" spans="1:28" s="264" customFormat="1" ht="20.399999999999999">
      <c r="A631" s="207"/>
      <c r="B631" s="208"/>
      <c r="C631" s="212"/>
      <c r="D631" s="270"/>
      <c r="E631" s="208"/>
      <c r="F631" s="208"/>
      <c r="G631" s="208"/>
      <c r="H631" s="209"/>
      <c r="I631" s="210"/>
      <c r="J631" s="210"/>
      <c r="K631" s="260"/>
      <c r="L631" s="260"/>
      <c r="M631" s="260"/>
      <c r="N631" s="260"/>
      <c r="O631" s="260"/>
      <c r="P631" s="211"/>
      <c r="Q631" s="261"/>
      <c r="R631" s="208" t="str">
        <f ca="1">IF(ISERROR($V631),"",OFFSET('Smelter Look-up'!$C$4,$V631-4,0)&amp;"")</f>
        <v/>
      </c>
      <c r="S631" s="215" t="str">
        <f t="shared" ca="1" si="87"/>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si="88"/>
        <v>0</v>
      </c>
      <c r="Y631" s="263"/>
      <c r="Z631" s="263"/>
      <c r="AB631" s="265" t="str">
        <f t="shared" si="89"/>
        <v/>
      </c>
    </row>
    <row r="632" spans="1:28" s="264" customFormat="1" ht="20.399999999999999">
      <c r="A632" s="207"/>
      <c r="B632" s="208"/>
      <c r="C632" s="212"/>
      <c r="D632" s="270"/>
      <c r="E632" s="208"/>
      <c r="F632" s="208"/>
      <c r="G632" s="208"/>
      <c r="H632" s="209"/>
      <c r="I632" s="210"/>
      <c r="J632" s="210"/>
      <c r="K632" s="260"/>
      <c r="L632" s="260"/>
      <c r="M632" s="260"/>
      <c r="N632" s="260"/>
      <c r="O632" s="260"/>
      <c r="P632" s="211"/>
      <c r="Q632" s="261"/>
      <c r="R632" s="208" t="str">
        <f ca="1">IF(ISERROR($V632),"",OFFSET('Smelter Look-up'!$C$4,$V632-4,0)&amp;"")</f>
        <v/>
      </c>
      <c r="S632" s="215" t="str">
        <f t="shared" ca="1" si="87"/>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si="88"/>
        <v>0</v>
      </c>
      <c r="Y632" s="263"/>
      <c r="Z632" s="263"/>
      <c r="AB632" s="265" t="str">
        <f t="shared" si="89"/>
        <v/>
      </c>
    </row>
    <row r="633" spans="1:28" s="264" customFormat="1" ht="20.399999999999999">
      <c r="A633" s="207"/>
      <c r="B633" s="208"/>
      <c r="C633" s="212"/>
      <c r="D633" s="270"/>
      <c r="E633" s="208"/>
      <c r="F633" s="208"/>
      <c r="G633" s="208"/>
      <c r="H633" s="209"/>
      <c r="I633" s="210"/>
      <c r="J633" s="210"/>
      <c r="K633" s="260"/>
      <c r="L633" s="260"/>
      <c r="M633" s="260"/>
      <c r="N633" s="260"/>
      <c r="O633" s="260"/>
      <c r="P633" s="211"/>
      <c r="Q633" s="261"/>
      <c r="R633" s="208" t="str">
        <f ca="1">IF(ISERROR($V633),"",OFFSET('Smelter Look-up'!$C$4,$V633-4,0)&amp;"")</f>
        <v/>
      </c>
      <c r="S633" s="215" t="str">
        <f t="shared" ca="1" si="87"/>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si="88"/>
        <v>0</v>
      </c>
      <c r="Y633" s="263"/>
      <c r="Z633" s="263"/>
      <c r="AB633" s="265" t="str">
        <f t="shared" si="89"/>
        <v/>
      </c>
    </row>
    <row r="634" spans="1:28" s="264" customFormat="1" ht="20.399999999999999">
      <c r="A634" s="207"/>
      <c r="B634" s="208"/>
      <c r="C634" s="212"/>
      <c r="D634" s="270"/>
      <c r="E634" s="208"/>
      <c r="F634" s="208"/>
      <c r="G634" s="208"/>
      <c r="H634" s="209"/>
      <c r="I634" s="210"/>
      <c r="J634" s="210"/>
      <c r="K634" s="260"/>
      <c r="L634" s="260"/>
      <c r="M634" s="260"/>
      <c r="N634" s="260"/>
      <c r="O634" s="260"/>
      <c r="P634" s="211"/>
      <c r="Q634" s="261"/>
      <c r="R634" s="208" t="str">
        <f ca="1">IF(ISERROR($V634),"",OFFSET('Smelter Look-up'!$C$4,$V634-4,0)&amp;"")</f>
        <v/>
      </c>
      <c r="S634" s="215" t="str">
        <f t="shared" ca="1" si="87"/>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si="88"/>
        <v>0</v>
      </c>
      <c r="Y634" s="263"/>
      <c r="Z634" s="263"/>
      <c r="AB634" s="265" t="str">
        <f t="shared" si="89"/>
        <v/>
      </c>
    </row>
    <row r="635" spans="1:28" s="264" customFormat="1" ht="20.399999999999999">
      <c r="A635" s="207"/>
      <c r="B635" s="208"/>
      <c r="C635" s="212"/>
      <c r="D635" s="270"/>
      <c r="E635" s="208"/>
      <c r="F635" s="208"/>
      <c r="G635" s="208"/>
      <c r="H635" s="209"/>
      <c r="I635" s="210"/>
      <c r="J635" s="210"/>
      <c r="K635" s="260"/>
      <c r="L635" s="260"/>
      <c r="M635" s="260"/>
      <c r="N635" s="260"/>
      <c r="O635" s="260"/>
      <c r="P635" s="211"/>
      <c r="Q635" s="261"/>
      <c r="R635" s="208" t="str">
        <f ca="1">IF(ISERROR($V635),"",OFFSET('Smelter Look-up'!$C$4,$V635-4,0)&amp;"")</f>
        <v/>
      </c>
      <c r="S635" s="215" t="str">
        <f t="shared" ref="S635" ca="1" si="90">IF(B635="","",IF(ISERROR(MATCH($E635,CL,0)),"Unknown",INDIRECT("'C'!$A$"&amp;MATCH($E635,CL,0)+1)))</f>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ref="X635" si="91">IF(AND(C635="Smelter not listed",OR(LEN(D635)=0,LEN(E635)=0)),1,0)</f>
        <v>0</v>
      </c>
      <c r="Y635" s="263"/>
      <c r="Z635" s="263"/>
      <c r="AB635" s="265" t="str">
        <f t="shared" ref="AB635" si="92">B635&amp;C635</f>
        <v/>
      </c>
    </row>
    <row r="636" spans="1:28" s="264" customFormat="1" ht="20.399999999999999">
      <c r="A636" s="207"/>
      <c r="B636" s="208"/>
      <c r="C636" s="212"/>
      <c r="D636" s="270"/>
      <c r="E636" s="208"/>
      <c r="F636" s="208"/>
      <c r="G636" s="208"/>
      <c r="H636" s="209"/>
      <c r="I636" s="210"/>
      <c r="J636" s="210"/>
      <c r="K636" s="260"/>
      <c r="L636" s="260"/>
      <c r="M636" s="260"/>
      <c r="N636" s="260"/>
      <c r="O636" s="260"/>
      <c r="P636" s="211"/>
      <c r="Q636" s="261"/>
      <c r="R636" s="208" t="str">
        <f ca="1">IF(ISERROR($V636),"",OFFSET('Smelter Look-up'!$C$4,$V636-4,0)&amp;"")</f>
        <v/>
      </c>
      <c r="S636" s="215" t="str">
        <f t="shared" ref="S636:S667" ca="1" si="93">IF(B636="","",IF(ISERROR(MATCH($E636,CL,0)),"Unknown",INDIRECT("'C'!$A$"&amp;MATCH($E636,CL,0)+1)))</f>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ref="X636:X667" si="94">IF(AND(C636="Smelter not listed",OR(LEN(D636)=0,LEN(E636)=0)),1,0)</f>
        <v>0</v>
      </c>
      <c r="Y636" s="263"/>
      <c r="Z636" s="263"/>
      <c r="AB636" s="265" t="str">
        <f t="shared" ref="AB636:AB667" si="95">B636&amp;C636</f>
        <v/>
      </c>
    </row>
    <row r="637" spans="1:28" s="264" customFormat="1" ht="20.399999999999999">
      <c r="A637" s="207"/>
      <c r="B637" s="208"/>
      <c r="C637" s="212"/>
      <c r="D637" s="270"/>
      <c r="E637" s="208"/>
      <c r="F637" s="208"/>
      <c r="G637" s="208"/>
      <c r="H637" s="209"/>
      <c r="I637" s="210"/>
      <c r="J637" s="210"/>
      <c r="K637" s="260"/>
      <c r="L637" s="260"/>
      <c r="M637" s="260"/>
      <c r="N637" s="260"/>
      <c r="O637" s="260"/>
      <c r="P637" s="211"/>
      <c r="Q637" s="261"/>
      <c r="R637" s="208" t="str">
        <f ca="1">IF(ISERROR($V637),"",OFFSET('Smelter Look-up'!$C$4,$V637-4,0)&amp;"")</f>
        <v/>
      </c>
      <c r="S637" s="215" t="str">
        <f t="shared" ca="1" si="93"/>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si="94"/>
        <v>0</v>
      </c>
      <c r="Y637" s="263"/>
      <c r="Z637" s="263"/>
      <c r="AB637" s="265" t="str">
        <f t="shared" si="95"/>
        <v/>
      </c>
    </row>
    <row r="638" spans="1:28" s="264" customFormat="1" ht="20.399999999999999">
      <c r="A638" s="207"/>
      <c r="B638" s="208"/>
      <c r="C638" s="212"/>
      <c r="D638" s="270"/>
      <c r="E638" s="208"/>
      <c r="F638" s="208"/>
      <c r="G638" s="208"/>
      <c r="H638" s="209"/>
      <c r="I638" s="210"/>
      <c r="J638" s="210"/>
      <c r="K638" s="260"/>
      <c r="L638" s="260"/>
      <c r="M638" s="260"/>
      <c r="N638" s="260"/>
      <c r="O638" s="260"/>
      <c r="P638" s="211"/>
      <c r="Q638" s="261"/>
      <c r="R638" s="208" t="str">
        <f ca="1">IF(ISERROR($V638),"",OFFSET('Smelter Look-up'!$C$4,$V638-4,0)&amp;"")</f>
        <v/>
      </c>
      <c r="S638" s="215" t="str">
        <f t="shared" ca="1" si="93"/>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si="94"/>
        <v>0</v>
      </c>
      <c r="Y638" s="263"/>
      <c r="Z638" s="263"/>
      <c r="AB638" s="265" t="str">
        <f t="shared" si="95"/>
        <v/>
      </c>
    </row>
    <row r="639" spans="1:28" s="264" customFormat="1" ht="20.399999999999999">
      <c r="A639" s="207"/>
      <c r="B639" s="208"/>
      <c r="C639" s="212"/>
      <c r="D639" s="270"/>
      <c r="E639" s="208"/>
      <c r="F639" s="208"/>
      <c r="G639" s="208"/>
      <c r="H639" s="209"/>
      <c r="I639" s="210"/>
      <c r="J639" s="210"/>
      <c r="K639" s="260"/>
      <c r="L639" s="260"/>
      <c r="M639" s="260"/>
      <c r="N639" s="260"/>
      <c r="O639" s="260"/>
      <c r="P639" s="211"/>
      <c r="Q639" s="261"/>
      <c r="R639" s="208" t="str">
        <f ca="1">IF(ISERROR($V639),"",OFFSET('Smelter Look-up'!$C$4,$V639-4,0)&amp;"")</f>
        <v/>
      </c>
      <c r="S639" s="215" t="str">
        <f t="shared" ca="1" si="93"/>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si="94"/>
        <v>0</v>
      </c>
      <c r="Y639" s="263"/>
      <c r="Z639" s="263"/>
      <c r="AB639" s="265" t="str">
        <f t="shared" si="95"/>
        <v/>
      </c>
    </row>
    <row r="640" spans="1:28" s="264" customFormat="1" ht="20.399999999999999">
      <c r="A640" s="207"/>
      <c r="B640" s="208"/>
      <c r="C640" s="212"/>
      <c r="D640" s="270"/>
      <c r="E640" s="208"/>
      <c r="F640" s="208"/>
      <c r="G640" s="208"/>
      <c r="H640" s="209"/>
      <c r="I640" s="210"/>
      <c r="J640" s="210"/>
      <c r="K640" s="260"/>
      <c r="L640" s="260"/>
      <c r="M640" s="260"/>
      <c r="N640" s="260"/>
      <c r="O640" s="260"/>
      <c r="P640" s="211"/>
      <c r="Q640" s="261"/>
      <c r="R640" s="208" t="str">
        <f ca="1">IF(ISERROR($V640),"",OFFSET('Smelter Look-up'!$C$4,$V640-4,0)&amp;"")</f>
        <v/>
      </c>
      <c r="S640" s="215" t="str">
        <f t="shared" ca="1" si="93"/>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si="94"/>
        <v>0</v>
      </c>
      <c r="Y640" s="263"/>
      <c r="Z640" s="263"/>
      <c r="AB640" s="265" t="str">
        <f t="shared" si="95"/>
        <v/>
      </c>
    </row>
    <row r="641" spans="1:28" s="264" customFormat="1" ht="20.399999999999999">
      <c r="A641" s="207"/>
      <c r="B641" s="208"/>
      <c r="C641" s="212"/>
      <c r="D641" s="270"/>
      <c r="E641" s="208"/>
      <c r="F641" s="208"/>
      <c r="G641" s="208"/>
      <c r="H641" s="209"/>
      <c r="I641" s="210"/>
      <c r="J641" s="210"/>
      <c r="K641" s="260"/>
      <c r="L641" s="260"/>
      <c r="M641" s="260"/>
      <c r="N641" s="260"/>
      <c r="O641" s="260"/>
      <c r="P641" s="211"/>
      <c r="Q641" s="261"/>
      <c r="R641" s="208" t="str">
        <f ca="1">IF(ISERROR($V641),"",OFFSET('Smelter Look-up'!$C$4,$V641-4,0)&amp;"")</f>
        <v/>
      </c>
      <c r="S641" s="215" t="str">
        <f t="shared" ca="1" si="93"/>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si="94"/>
        <v>0</v>
      </c>
      <c r="Y641" s="263"/>
      <c r="Z641" s="263"/>
      <c r="AB641" s="265" t="str">
        <f t="shared" si="95"/>
        <v/>
      </c>
    </row>
    <row r="642" spans="1:28" s="264" customFormat="1" ht="20.399999999999999">
      <c r="A642" s="207"/>
      <c r="B642" s="208"/>
      <c r="C642" s="212"/>
      <c r="D642" s="270"/>
      <c r="E642" s="208"/>
      <c r="F642" s="208"/>
      <c r="G642" s="208"/>
      <c r="H642" s="209"/>
      <c r="I642" s="210"/>
      <c r="J642" s="210"/>
      <c r="K642" s="260"/>
      <c r="L642" s="260"/>
      <c r="M642" s="260"/>
      <c r="N642" s="260"/>
      <c r="O642" s="260"/>
      <c r="P642" s="211"/>
      <c r="Q642" s="261"/>
      <c r="R642" s="208" t="str">
        <f ca="1">IF(ISERROR($V642),"",OFFSET('Smelter Look-up'!$C$4,$V642-4,0)&amp;"")</f>
        <v/>
      </c>
      <c r="S642" s="215" t="str">
        <f t="shared" ca="1" si="93"/>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si="94"/>
        <v>0</v>
      </c>
      <c r="Y642" s="263"/>
      <c r="Z642" s="263"/>
      <c r="AB642" s="265" t="str">
        <f t="shared" si="95"/>
        <v/>
      </c>
    </row>
    <row r="643" spans="1:28" s="264" customFormat="1" ht="20.399999999999999">
      <c r="A643" s="207"/>
      <c r="B643" s="208"/>
      <c r="C643" s="212"/>
      <c r="D643" s="270"/>
      <c r="E643" s="208"/>
      <c r="F643" s="208"/>
      <c r="G643" s="208"/>
      <c r="H643" s="209"/>
      <c r="I643" s="210"/>
      <c r="J643" s="210"/>
      <c r="K643" s="260"/>
      <c r="L643" s="260"/>
      <c r="M643" s="260"/>
      <c r="N643" s="260"/>
      <c r="O643" s="260"/>
      <c r="P643" s="211"/>
      <c r="Q643" s="261"/>
      <c r="R643" s="208" t="str">
        <f ca="1">IF(ISERROR($V643),"",OFFSET('Smelter Look-up'!$C$4,$V643-4,0)&amp;"")</f>
        <v/>
      </c>
      <c r="S643" s="215" t="str">
        <f t="shared" ca="1" si="93"/>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si="94"/>
        <v>0</v>
      </c>
      <c r="Y643" s="263"/>
      <c r="Z643" s="263"/>
      <c r="AB643" s="265" t="str">
        <f t="shared" si="95"/>
        <v/>
      </c>
    </row>
    <row r="644" spans="1:28" s="264" customFormat="1" ht="20.399999999999999">
      <c r="A644" s="207"/>
      <c r="B644" s="208"/>
      <c r="C644" s="212"/>
      <c r="D644" s="270"/>
      <c r="E644" s="208"/>
      <c r="F644" s="208"/>
      <c r="G644" s="208"/>
      <c r="H644" s="209"/>
      <c r="I644" s="210"/>
      <c r="J644" s="210"/>
      <c r="K644" s="260"/>
      <c r="L644" s="260"/>
      <c r="M644" s="260"/>
      <c r="N644" s="260"/>
      <c r="O644" s="260"/>
      <c r="P644" s="211"/>
      <c r="Q644" s="261"/>
      <c r="R644" s="208" t="str">
        <f ca="1">IF(ISERROR($V644),"",OFFSET('Smelter Look-up'!$C$4,$V644-4,0)&amp;"")</f>
        <v/>
      </c>
      <c r="S644" s="215" t="str">
        <f t="shared" ca="1" si="93"/>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si="94"/>
        <v>0</v>
      </c>
      <c r="Y644" s="263"/>
      <c r="Z644" s="263"/>
      <c r="AB644" s="265" t="str">
        <f t="shared" si="95"/>
        <v/>
      </c>
    </row>
    <row r="645" spans="1:28" s="264" customFormat="1" ht="20.399999999999999">
      <c r="A645" s="207"/>
      <c r="B645" s="208"/>
      <c r="C645" s="212"/>
      <c r="D645" s="270"/>
      <c r="E645" s="208"/>
      <c r="F645" s="208"/>
      <c r="G645" s="208"/>
      <c r="H645" s="209"/>
      <c r="I645" s="210"/>
      <c r="J645" s="210"/>
      <c r="K645" s="260"/>
      <c r="L645" s="260"/>
      <c r="M645" s="260"/>
      <c r="N645" s="260"/>
      <c r="O645" s="260"/>
      <c r="P645" s="211"/>
      <c r="Q645" s="261"/>
      <c r="R645" s="208" t="str">
        <f ca="1">IF(ISERROR($V645),"",OFFSET('Smelter Look-up'!$C$4,$V645-4,0)&amp;"")</f>
        <v/>
      </c>
      <c r="S645" s="215" t="str">
        <f t="shared" ca="1" si="93"/>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si="94"/>
        <v>0</v>
      </c>
      <c r="Y645" s="263"/>
      <c r="Z645" s="263"/>
      <c r="AB645" s="265" t="str">
        <f t="shared" si="95"/>
        <v/>
      </c>
    </row>
    <row r="646" spans="1:28" s="264" customFormat="1" ht="20.399999999999999">
      <c r="A646" s="207"/>
      <c r="B646" s="208"/>
      <c r="C646" s="212"/>
      <c r="D646" s="270"/>
      <c r="E646" s="208"/>
      <c r="F646" s="208"/>
      <c r="G646" s="208"/>
      <c r="H646" s="209"/>
      <c r="I646" s="210"/>
      <c r="J646" s="210"/>
      <c r="K646" s="260"/>
      <c r="L646" s="260"/>
      <c r="M646" s="260"/>
      <c r="N646" s="260"/>
      <c r="O646" s="260"/>
      <c r="P646" s="211"/>
      <c r="Q646" s="261"/>
      <c r="R646" s="208" t="str">
        <f ca="1">IF(ISERROR($V646),"",OFFSET('Smelter Look-up'!$C$4,$V646-4,0)&amp;"")</f>
        <v/>
      </c>
      <c r="S646" s="215" t="str">
        <f t="shared" ca="1" si="93"/>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si="94"/>
        <v>0</v>
      </c>
      <c r="Y646" s="263"/>
      <c r="Z646" s="263"/>
      <c r="AB646" s="265" t="str">
        <f t="shared" si="95"/>
        <v/>
      </c>
    </row>
    <row r="647" spans="1:28" s="264" customFormat="1" ht="20.399999999999999">
      <c r="A647" s="207"/>
      <c r="B647" s="208"/>
      <c r="C647" s="212"/>
      <c r="D647" s="270"/>
      <c r="E647" s="208"/>
      <c r="F647" s="208"/>
      <c r="G647" s="208"/>
      <c r="H647" s="209"/>
      <c r="I647" s="210"/>
      <c r="J647" s="210"/>
      <c r="K647" s="260"/>
      <c r="L647" s="260"/>
      <c r="M647" s="260"/>
      <c r="N647" s="260"/>
      <c r="O647" s="260"/>
      <c r="P647" s="211"/>
      <c r="Q647" s="261"/>
      <c r="R647" s="208" t="str">
        <f ca="1">IF(ISERROR($V647),"",OFFSET('Smelter Look-up'!$C$4,$V647-4,0)&amp;"")</f>
        <v/>
      </c>
      <c r="S647" s="215" t="str">
        <f t="shared" ca="1" si="93"/>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si="94"/>
        <v>0</v>
      </c>
      <c r="Y647" s="263"/>
      <c r="Z647" s="263"/>
      <c r="AB647" s="265" t="str">
        <f t="shared" si="95"/>
        <v/>
      </c>
    </row>
    <row r="648" spans="1:28" s="264" customFormat="1" ht="20.399999999999999">
      <c r="A648" s="207"/>
      <c r="B648" s="208"/>
      <c r="C648" s="212"/>
      <c r="D648" s="270"/>
      <c r="E648" s="208"/>
      <c r="F648" s="208"/>
      <c r="G648" s="208"/>
      <c r="H648" s="209"/>
      <c r="I648" s="210"/>
      <c r="J648" s="210"/>
      <c r="K648" s="260"/>
      <c r="L648" s="260"/>
      <c r="M648" s="260"/>
      <c r="N648" s="260"/>
      <c r="O648" s="260"/>
      <c r="P648" s="211"/>
      <c r="Q648" s="261"/>
      <c r="R648" s="208" t="str">
        <f ca="1">IF(ISERROR($V648),"",OFFSET('Smelter Look-up'!$C$4,$V648-4,0)&amp;"")</f>
        <v/>
      </c>
      <c r="S648" s="215" t="str">
        <f t="shared" ca="1" si="93"/>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si="94"/>
        <v>0</v>
      </c>
      <c r="Y648" s="263"/>
      <c r="Z648" s="263"/>
      <c r="AB648" s="265" t="str">
        <f t="shared" si="95"/>
        <v/>
      </c>
    </row>
    <row r="649" spans="1:28" s="264" customFormat="1" ht="20.399999999999999">
      <c r="A649" s="207"/>
      <c r="B649" s="208"/>
      <c r="C649" s="212"/>
      <c r="D649" s="270"/>
      <c r="E649" s="208"/>
      <c r="F649" s="208"/>
      <c r="G649" s="208"/>
      <c r="H649" s="209"/>
      <c r="I649" s="210"/>
      <c r="J649" s="210"/>
      <c r="K649" s="260"/>
      <c r="L649" s="260"/>
      <c r="M649" s="260"/>
      <c r="N649" s="260"/>
      <c r="O649" s="260"/>
      <c r="P649" s="211"/>
      <c r="Q649" s="261"/>
      <c r="R649" s="208" t="str">
        <f ca="1">IF(ISERROR($V649),"",OFFSET('Smelter Look-up'!$C$4,$V649-4,0)&amp;"")</f>
        <v/>
      </c>
      <c r="S649" s="215" t="str">
        <f t="shared" ca="1" si="93"/>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si="94"/>
        <v>0</v>
      </c>
      <c r="Y649" s="263"/>
      <c r="Z649" s="263"/>
      <c r="AB649" s="265" t="str">
        <f t="shared" si="95"/>
        <v/>
      </c>
    </row>
    <row r="650" spans="1:28" s="264" customFormat="1" ht="20.399999999999999">
      <c r="A650" s="207"/>
      <c r="B650" s="208"/>
      <c r="C650" s="212"/>
      <c r="D650" s="270"/>
      <c r="E650" s="208"/>
      <c r="F650" s="208"/>
      <c r="G650" s="208"/>
      <c r="H650" s="209"/>
      <c r="I650" s="210"/>
      <c r="J650" s="210"/>
      <c r="K650" s="260"/>
      <c r="L650" s="260"/>
      <c r="M650" s="260"/>
      <c r="N650" s="260"/>
      <c r="O650" s="260"/>
      <c r="P650" s="211"/>
      <c r="Q650" s="261"/>
      <c r="R650" s="208" t="str">
        <f ca="1">IF(ISERROR($V650),"",OFFSET('Smelter Look-up'!$C$4,$V650-4,0)&amp;"")</f>
        <v/>
      </c>
      <c r="S650" s="215" t="str">
        <f t="shared" ca="1" si="93"/>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si="94"/>
        <v>0</v>
      </c>
      <c r="Y650" s="263"/>
      <c r="Z650" s="263"/>
      <c r="AB650" s="265" t="str">
        <f t="shared" si="95"/>
        <v/>
      </c>
    </row>
    <row r="651" spans="1:28" s="264" customFormat="1" ht="20.399999999999999">
      <c r="A651" s="207"/>
      <c r="B651" s="208"/>
      <c r="C651" s="212"/>
      <c r="D651" s="270"/>
      <c r="E651" s="208"/>
      <c r="F651" s="208"/>
      <c r="G651" s="208"/>
      <c r="H651" s="209"/>
      <c r="I651" s="210"/>
      <c r="J651" s="210"/>
      <c r="K651" s="260"/>
      <c r="L651" s="260"/>
      <c r="M651" s="260"/>
      <c r="N651" s="260"/>
      <c r="O651" s="260"/>
      <c r="P651" s="211"/>
      <c r="Q651" s="261"/>
      <c r="R651" s="208" t="str">
        <f ca="1">IF(ISERROR($V651),"",OFFSET('Smelter Look-up'!$C$4,$V651-4,0)&amp;"")</f>
        <v/>
      </c>
      <c r="S651" s="215" t="str">
        <f t="shared" ca="1" si="93"/>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si="94"/>
        <v>0</v>
      </c>
      <c r="Y651" s="263"/>
      <c r="Z651" s="263"/>
      <c r="AB651" s="265" t="str">
        <f t="shared" si="95"/>
        <v/>
      </c>
    </row>
    <row r="652" spans="1:28" s="264" customFormat="1" ht="20.399999999999999">
      <c r="A652" s="207"/>
      <c r="B652" s="208"/>
      <c r="C652" s="212"/>
      <c r="D652" s="270"/>
      <c r="E652" s="208"/>
      <c r="F652" s="208"/>
      <c r="G652" s="208"/>
      <c r="H652" s="209"/>
      <c r="I652" s="210"/>
      <c r="J652" s="210"/>
      <c r="K652" s="260"/>
      <c r="L652" s="260"/>
      <c r="M652" s="260"/>
      <c r="N652" s="260"/>
      <c r="O652" s="260"/>
      <c r="P652" s="211"/>
      <c r="Q652" s="261"/>
      <c r="R652" s="208" t="str">
        <f ca="1">IF(ISERROR($V652),"",OFFSET('Smelter Look-up'!$C$4,$V652-4,0)&amp;"")</f>
        <v/>
      </c>
      <c r="S652" s="215" t="str">
        <f t="shared" ca="1" si="93"/>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si="94"/>
        <v>0</v>
      </c>
      <c r="Y652" s="263"/>
      <c r="Z652" s="263"/>
      <c r="AB652" s="265" t="str">
        <f t="shared" si="95"/>
        <v/>
      </c>
    </row>
    <row r="653" spans="1:28" s="264" customFormat="1" ht="20.399999999999999">
      <c r="A653" s="207"/>
      <c r="B653" s="208"/>
      <c r="C653" s="212"/>
      <c r="D653" s="270"/>
      <c r="E653" s="208"/>
      <c r="F653" s="208"/>
      <c r="G653" s="208"/>
      <c r="H653" s="209"/>
      <c r="I653" s="210"/>
      <c r="J653" s="210"/>
      <c r="K653" s="260"/>
      <c r="L653" s="260"/>
      <c r="M653" s="260"/>
      <c r="N653" s="260"/>
      <c r="O653" s="260"/>
      <c r="P653" s="211"/>
      <c r="Q653" s="261"/>
      <c r="R653" s="208" t="str">
        <f ca="1">IF(ISERROR($V653),"",OFFSET('Smelter Look-up'!$C$4,$V653-4,0)&amp;"")</f>
        <v/>
      </c>
      <c r="S653" s="215" t="str">
        <f t="shared" ca="1" si="93"/>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si="94"/>
        <v>0</v>
      </c>
      <c r="Y653" s="263"/>
      <c r="Z653" s="263"/>
      <c r="AB653" s="265" t="str">
        <f t="shared" si="95"/>
        <v/>
      </c>
    </row>
    <row r="654" spans="1:28" s="264" customFormat="1" ht="20.399999999999999">
      <c r="A654" s="207"/>
      <c r="B654" s="208"/>
      <c r="C654" s="212"/>
      <c r="D654" s="270"/>
      <c r="E654" s="208"/>
      <c r="F654" s="208"/>
      <c r="G654" s="208"/>
      <c r="H654" s="209"/>
      <c r="I654" s="210"/>
      <c r="J654" s="210"/>
      <c r="K654" s="260"/>
      <c r="L654" s="260"/>
      <c r="M654" s="260"/>
      <c r="N654" s="260"/>
      <c r="O654" s="260"/>
      <c r="P654" s="211"/>
      <c r="Q654" s="261"/>
      <c r="R654" s="208" t="str">
        <f ca="1">IF(ISERROR($V654),"",OFFSET('Smelter Look-up'!$C$4,$V654-4,0)&amp;"")</f>
        <v/>
      </c>
      <c r="S654" s="215" t="str">
        <f t="shared" ca="1" si="93"/>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si="94"/>
        <v>0</v>
      </c>
      <c r="Y654" s="263"/>
      <c r="Z654" s="263"/>
      <c r="AB654" s="265" t="str">
        <f t="shared" si="95"/>
        <v/>
      </c>
    </row>
    <row r="655" spans="1:28" s="264" customFormat="1" ht="20.399999999999999">
      <c r="A655" s="207"/>
      <c r="B655" s="208"/>
      <c r="C655" s="212"/>
      <c r="D655" s="270"/>
      <c r="E655" s="208"/>
      <c r="F655" s="208"/>
      <c r="G655" s="208"/>
      <c r="H655" s="209"/>
      <c r="I655" s="210"/>
      <c r="J655" s="210"/>
      <c r="K655" s="260"/>
      <c r="L655" s="260"/>
      <c r="M655" s="260"/>
      <c r="N655" s="260"/>
      <c r="O655" s="260"/>
      <c r="P655" s="211"/>
      <c r="Q655" s="261"/>
      <c r="R655" s="208" t="str">
        <f ca="1">IF(ISERROR($V655),"",OFFSET('Smelter Look-up'!$C$4,$V655-4,0)&amp;"")</f>
        <v/>
      </c>
      <c r="S655" s="215" t="str">
        <f t="shared" ca="1" si="93"/>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si="94"/>
        <v>0</v>
      </c>
      <c r="Y655" s="263"/>
      <c r="Z655" s="263"/>
      <c r="AB655" s="265" t="str">
        <f t="shared" si="95"/>
        <v/>
      </c>
    </row>
    <row r="656" spans="1:28" s="264" customFormat="1" ht="20.399999999999999">
      <c r="A656" s="207"/>
      <c r="B656" s="208"/>
      <c r="C656" s="212"/>
      <c r="D656" s="270"/>
      <c r="E656" s="208"/>
      <c r="F656" s="208"/>
      <c r="G656" s="208"/>
      <c r="H656" s="209"/>
      <c r="I656" s="210"/>
      <c r="J656" s="210"/>
      <c r="K656" s="260"/>
      <c r="L656" s="260"/>
      <c r="M656" s="260"/>
      <c r="N656" s="260"/>
      <c r="O656" s="260"/>
      <c r="P656" s="211"/>
      <c r="Q656" s="261"/>
      <c r="R656" s="208" t="str">
        <f ca="1">IF(ISERROR($V656),"",OFFSET('Smelter Look-up'!$C$4,$V656-4,0)&amp;"")</f>
        <v/>
      </c>
      <c r="S656" s="215" t="str">
        <f t="shared" ca="1" si="93"/>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si="94"/>
        <v>0</v>
      </c>
      <c r="Y656" s="263"/>
      <c r="Z656" s="263"/>
      <c r="AB656" s="265" t="str">
        <f t="shared" si="95"/>
        <v/>
      </c>
    </row>
    <row r="657" spans="1:28" s="264" customFormat="1" ht="20.399999999999999">
      <c r="A657" s="207"/>
      <c r="B657" s="208"/>
      <c r="C657" s="212"/>
      <c r="D657" s="270"/>
      <c r="E657" s="208"/>
      <c r="F657" s="208"/>
      <c r="G657" s="208"/>
      <c r="H657" s="209"/>
      <c r="I657" s="210"/>
      <c r="J657" s="210"/>
      <c r="K657" s="260"/>
      <c r="L657" s="260"/>
      <c r="M657" s="260"/>
      <c r="N657" s="260"/>
      <c r="O657" s="260"/>
      <c r="P657" s="211"/>
      <c r="Q657" s="261"/>
      <c r="R657" s="208" t="str">
        <f ca="1">IF(ISERROR($V657),"",OFFSET('Smelter Look-up'!$C$4,$V657-4,0)&amp;"")</f>
        <v/>
      </c>
      <c r="S657" s="215" t="str">
        <f t="shared" ca="1" si="93"/>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si="94"/>
        <v>0</v>
      </c>
      <c r="Y657" s="263"/>
      <c r="Z657" s="263"/>
      <c r="AB657" s="265" t="str">
        <f t="shared" si="95"/>
        <v/>
      </c>
    </row>
    <row r="658" spans="1:28" s="264" customFormat="1" ht="20.399999999999999">
      <c r="A658" s="207"/>
      <c r="B658" s="208"/>
      <c r="C658" s="212"/>
      <c r="D658" s="270"/>
      <c r="E658" s="208"/>
      <c r="F658" s="208"/>
      <c r="G658" s="208"/>
      <c r="H658" s="209"/>
      <c r="I658" s="210"/>
      <c r="J658" s="210"/>
      <c r="K658" s="260"/>
      <c r="L658" s="260"/>
      <c r="M658" s="260"/>
      <c r="N658" s="260"/>
      <c r="O658" s="260"/>
      <c r="P658" s="211"/>
      <c r="Q658" s="261"/>
      <c r="R658" s="208" t="str">
        <f ca="1">IF(ISERROR($V658),"",OFFSET('Smelter Look-up'!$C$4,$V658-4,0)&amp;"")</f>
        <v/>
      </c>
      <c r="S658" s="215" t="str">
        <f t="shared" ca="1" si="93"/>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si="94"/>
        <v>0</v>
      </c>
      <c r="Y658" s="263"/>
      <c r="Z658" s="263"/>
      <c r="AB658" s="265" t="str">
        <f t="shared" si="95"/>
        <v/>
      </c>
    </row>
    <row r="659" spans="1:28" s="264" customFormat="1" ht="20.399999999999999">
      <c r="A659" s="207"/>
      <c r="B659" s="208"/>
      <c r="C659" s="212"/>
      <c r="D659" s="270"/>
      <c r="E659" s="208"/>
      <c r="F659" s="208"/>
      <c r="G659" s="208"/>
      <c r="H659" s="209"/>
      <c r="I659" s="210"/>
      <c r="J659" s="210"/>
      <c r="K659" s="260"/>
      <c r="L659" s="260"/>
      <c r="M659" s="260"/>
      <c r="N659" s="260"/>
      <c r="O659" s="260"/>
      <c r="P659" s="211"/>
      <c r="Q659" s="261"/>
      <c r="R659" s="208" t="str">
        <f ca="1">IF(ISERROR($V659),"",OFFSET('Smelter Look-up'!$C$4,$V659-4,0)&amp;"")</f>
        <v/>
      </c>
      <c r="S659" s="215" t="str">
        <f t="shared" ca="1" si="93"/>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si="94"/>
        <v>0</v>
      </c>
      <c r="Y659" s="263"/>
      <c r="Z659" s="263"/>
      <c r="AB659" s="265" t="str">
        <f t="shared" si="95"/>
        <v/>
      </c>
    </row>
    <row r="660" spans="1:28" s="264" customFormat="1" ht="20.399999999999999">
      <c r="A660" s="207"/>
      <c r="B660" s="208"/>
      <c r="C660" s="212"/>
      <c r="D660" s="270"/>
      <c r="E660" s="208"/>
      <c r="F660" s="208"/>
      <c r="G660" s="208"/>
      <c r="H660" s="209"/>
      <c r="I660" s="210"/>
      <c r="J660" s="210"/>
      <c r="K660" s="260"/>
      <c r="L660" s="260"/>
      <c r="M660" s="260"/>
      <c r="N660" s="260"/>
      <c r="O660" s="260"/>
      <c r="P660" s="211"/>
      <c r="Q660" s="261"/>
      <c r="R660" s="208" t="str">
        <f ca="1">IF(ISERROR($V660),"",OFFSET('Smelter Look-up'!$C$4,$V660-4,0)&amp;"")</f>
        <v/>
      </c>
      <c r="S660" s="215" t="str">
        <f t="shared" ca="1" si="93"/>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si="94"/>
        <v>0</v>
      </c>
      <c r="Y660" s="263"/>
      <c r="Z660" s="263"/>
      <c r="AB660" s="265" t="str">
        <f t="shared" si="95"/>
        <v/>
      </c>
    </row>
    <row r="661" spans="1:28" s="264" customFormat="1" ht="20.399999999999999">
      <c r="A661" s="207"/>
      <c r="B661" s="208"/>
      <c r="C661" s="212"/>
      <c r="D661" s="270"/>
      <c r="E661" s="208"/>
      <c r="F661" s="208"/>
      <c r="G661" s="208"/>
      <c r="H661" s="209"/>
      <c r="I661" s="210"/>
      <c r="J661" s="210"/>
      <c r="K661" s="260"/>
      <c r="L661" s="260"/>
      <c r="M661" s="260"/>
      <c r="N661" s="260"/>
      <c r="O661" s="260"/>
      <c r="P661" s="211"/>
      <c r="Q661" s="261"/>
      <c r="R661" s="208" t="str">
        <f ca="1">IF(ISERROR($V661),"",OFFSET('Smelter Look-up'!$C$4,$V661-4,0)&amp;"")</f>
        <v/>
      </c>
      <c r="S661" s="215" t="str">
        <f t="shared" ca="1" si="93"/>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si="94"/>
        <v>0</v>
      </c>
      <c r="Y661" s="263"/>
      <c r="Z661" s="263"/>
      <c r="AB661" s="265" t="str">
        <f t="shared" si="95"/>
        <v/>
      </c>
    </row>
    <row r="662" spans="1:28" s="264" customFormat="1" ht="20.399999999999999">
      <c r="A662" s="207"/>
      <c r="B662" s="208"/>
      <c r="C662" s="212"/>
      <c r="D662" s="270"/>
      <c r="E662" s="208"/>
      <c r="F662" s="208"/>
      <c r="G662" s="208"/>
      <c r="H662" s="209"/>
      <c r="I662" s="210"/>
      <c r="J662" s="210"/>
      <c r="K662" s="260"/>
      <c r="L662" s="260"/>
      <c r="M662" s="260"/>
      <c r="N662" s="260"/>
      <c r="O662" s="260"/>
      <c r="P662" s="211"/>
      <c r="Q662" s="261"/>
      <c r="R662" s="208" t="str">
        <f ca="1">IF(ISERROR($V662),"",OFFSET('Smelter Look-up'!$C$4,$V662-4,0)&amp;"")</f>
        <v/>
      </c>
      <c r="S662" s="215" t="str">
        <f t="shared" ca="1" si="93"/>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si="94"/>
        <v>0</v>
      </c>
      <c r="Y662" s="263"/>
      <c r="Z662" s="263"/>
      <c r="AB662" s="265" t="str">
        <f t="shared" si="95"/>
        <v/>
      </c>
    </row>
    <row r="663" spans="1:28" s="264" customFormat="1" ht="20.399999999999999">
      <c r="A663" s="207"/>
      <c r="B663" s="208"/>
      <c r="C663" s="212"/>
      <c r="D663" s="270"/>
      <c r="E663" s="208"/>
      <c r="F663" s="208"/>
      <c r="G663" s="208"/>
      <c r="H663" s="209"/>
      <c r="I663" s="210"/>
      <c r="J663" s="210"/>
      <c r="K663" s="260"/>
      <c r="L663" s="260"/>
      <c r="M663" s="260"/>
      <c r="N663" s="260"/>
      <c r="O663" s="260"/>
      <c r="P663" s="211"/>
      <c r="Q663" s="261"/>
      <c r="R663" s="208" t="str">
        <f ca="1">IF(ISERROR($V663),"",OFFSET('Smelter Look-up'!$C$4,$V663-4,0)&amp;"")</f>
        <v/>
      </c>
      <c r="S663" s="215" t="str">
        <f t="shared" ca="1" si="93"/>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si="94"/>
        <v>0</v>
      </c>
      <c r="Y663" s="263"/>
      <c r="Z663" s="263"/>
      <c r="AB663" s="265" t="str">
        <f t="shared" si="95"/>
        <v/>
      </c>
    </row>
    <row r="664" spans="1:28" s="264" customFormat="1" ht="20.399999999999999">
      <c r="A664" s="207"/>
      <c r="B664" s="208"/>
      <c r="C664" s="212"/>
      <c r="D664" s="270"/>
      <c r="E664" s="208"/>
      <c r="F664" s="208"/>
      <c r="G664" s="208"/>
      <c r="H664" s="209"/>
      <c r="I664" s="210"/>
      <c r="J664" s="210"/>
      <c r="K664" s="260"/>
      <c r="L664" s="260"/>
      <c r="M664" s="260"/>
      <c r="N664" s="260"/>
      <c r="O664" s="260"/>
      <c r="P664" s="211"/>
      <c r="Q664" s="261"/>
      <c r="R664" s="208" t="str">
        <f ca="1">IF(ISERROR($V664),"",OFFSET('Smelter Look-up'!$C$4,$V664-4,0)&amp;"")</f>
        <v/>
      </c>
      <c r="S664" s="215" t="str">
        <f t="shared" ca="1" si="93"/>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si="94"/>
        <v>0</v>
      </c>
      <c r="Y664" s="263"/>
      <c r="Z664" s="263"/>
      <c r="AB664" s="265" t="str">
        <f t="shared" si="95"/>
        <v/>
      </c>
    </row>
    <row r="665" spans="1:28" s="264" customFormat="1" ht="20.399999999999999">
      <c r="A665" s="207"/>
      <c r="B665" s="208"/>
      <c r="C665" s="212"/>
      <c r="D665" s="270"/>
      <c r="E665" s="208"/>
      <c r="F665" s="208"/>
      <c r="G665" s="208"/>
      <c r="H665" s="209"/>
      <c r="I665" s="210"/>
      <c r="J665" s="210"/>
      <c r="K665" s="260"/>
      <c r="L665" s="260"/>
      <c r="M665" s="260"/>
      <c r="N665" s="260"/>
      <c r="O665" s="260"/>
      <c r="P665" s="211"/>
      <c r="Q665" s="261"/>
      <c r="R665" s="208" t="str">
        <f ca="1">IF(ISERROR($V665),"",OFFSET('Smelter Look-up'!$C$4,$V665-4,0)&amp;"")</f>
        <v/>
      </c>
      <c r="S665" s="215" t="str">
        <f t="shared" ca="1" si="93"/>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si="94"/>
        <v>0</v>
      </c>
      <c r="Y665" s="263"/>
      <c r="Z665" s="263"/>
      <c r="AB665" s="265" t="str">
        <f t="shared" si="95"/>
        <v/>
      </c>
    </row>
    <row r="666" spans="1:28" s="264" customFormat="1" ht="20.399999999999999">
      <c r="A666" s="207"/>
      <c r="B666" s="208"/>
      <c r="C666" s="212"/>
      <c r="D666" s="270"/>
      <c r="E666" s="208"/>
      <c r="F666" s="208"/>
      <c r="G666" s="208"/>
      <c r="H666" s="209"/>
      <c r="I666" s="210"/>
      <c r="J666" s="210"/>
      <c r="K666" s="260"/>
      <c r="L666" s="260"/>
      <c r="M666" s="260"/>
      <c r="N666" s="260"/>
      <c r="O666" s="260"/>
      <c r="P666" s="211"/>
      <c r="Q666" s="261"/>
      <c r="R666" s="208" t="str">
        <f ca="1">IF(ISERROR($V666),"",OFFSET('Smelter Look-up'!$C$4,$V666-4,0)&amp;"")</f>
        <v/>
      </c>
      <c r="S666" s="215" t="str">
        <f t="shared" ca="1" si="93"/>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si="94"/>
        <v>0</v>
      </c>
      <c r="Y666" s="263"/>
      <c r="Z666" s="263"/>
      <c r="AB666" s="265" t="str">
        <f t="shared" si="95"/>
        <v/>
      </c>
    </row>
    <row r="667" spans="1:28" s="264" customFormat="1" ht="20.399999999999999">
      <c r="A667" s="207"/>
      <c r="B667" s="208"/>
      <c r="C667" s="212"/>
      <c r="D667" s="270"/>
      <c r="E667" s="208"/>
      <c r="F667" s="208"/>
      <c r="G667" s="208"/>
      <c r="H667" s="209"/>
      <c r="I667" s="210"/>
      <c r="J667" s="210"/>
      <c r="K667" s="260"/>
      <c r="L667" s="260"/>
      <c r="M667" s="260"/>
      <c r="N667" s="260"/>
      <c r="O667" s="260"/>
      <c r="P667" s="211"/>
      <c r="Q667" s="261"/>
      <c r="R667" s="208" t="str">
        <f ca="1">IF(ISERROR($V667),"",OFFSET('Smelter Look-up'!$C$4,$V667-4,0)&amp;"")</f>
        <v/>
      </c>
      <c r="S667" s="215" t="str">
        <f t="shared" ca="1" si="93"/>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si="94"/>
        <v>0</v>
      </c>
      <c r="Y667" s="263"/>
      <c r="Z667" s="263"/>
      <c r="AB667" s="265" t="str">
        <f t="shared" si="95"/>
        <v/>
      </c>
    </row>
    <row r="668" spans="1:28" s="264" customFormat="1" ht="20.399999999999999">
      <c r="A668" s="207"/>
      <c r="B668" s="208"/>
      <c r="C668" s="212"/>
      <c r="D668" s="270"/>
      <c r="E668" s="208"/>
      <c r="F668" s="208"/>
      <c r="G668" s="208"/>
      <c r="H668" s="209"/>
      <c r="I668" s="210"/>
      <c r="J668" s="210"/>
      <c r="K668" s="260"/>
      <c r="L668" s="260"/>
      <c r="M668" s="260"/>
      <c r="N668" s="260"/>
      <c r="O668" s="260"/>
      <c r="P668" s="211"/>
      <c r="Q668" s="261"/>
      <c r="R668" s="208" t="str">
        <f ca="1">IF(ISERROR($V668),"",OFFSET('Smelter Look-up'!$C$4,$V668-4,0)&amp;"")</f>
        <v/>
      </c>
      <c r="S668" s="215" t="str">
        <f t="shared" ref="S668:S698" ca="1" si="96">IF(B668="","",IF(ISERROR(MATCH($E668,CL,0)),"Unknown",INDIRECT("'C'!$A$"&amp;MATCH($E668,CL,0)+1)))</f>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ref="X668:X698" si="97">IF(AND(C668="Smelter not listed",OR(LEN(D668)=0,LEN(E668)=0)),1,0)</f>
        <v>0</v>
      </c>
      <c r="Y668" s="263"/>
      <c r="Z668" s="263"/>
      <c r="AB668" s="265" t="str">
        <f t="shared" ref="AB668:AB698" si="98">B668&amp;C668</f>
        <v/>
      </c>
    </row>
    <row r="669" spans="1:28" s="264" customFormat="1" ht="20.399999999999999">
      <c r="A669" s="207"/>
      <c r="B669" s="208"/>
      <c r="C669" s="212"/>
      <c r="D669" s="270"/>
      <c r="E669" s="208"/>
      <c r="F669" s="208"/>
      <c r="G669" s="208"/>
      <c r="H669" s="209"/>
      <c r="I669" s="210"/>
      <c r="J669" s="210"/>
      <c r="K669" s="260"/>
      <c r="L669" s="260"/>
      <c r="M669" s="260"/>
      <c r="N669" s="260"/>
      <c r="O669" s="260"/>
      <c r="P669" s="211"/>
      <c r="Q669" s="261"/>
      <c r="R669" s="208" t="str">
        <f ca="1">IF(ISERROR($V669),"",OFFSET('Smelter Look-up'!$C$4,$V669-4,0)&amp;"")</f>
        <v/>
      </c>
      <c r="S669" s="215" t="str">
        <f t="shared" ca="1" si="96"/>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si="97"/>
        <v>0</v>
      </c>
      <c r="Y669" s="263"/>
      <c r="Z669" s="263"/>
      <c r="AB669" s="265" t="str">
        <f t="shared" si="98"/>
        <v/>
      </c>
    </row>
    <row r="670" spans="1:28" s="264" customFormat="1" ht="20.399999999999999">
      <c r="A670" s="207"/>
      <c r="B670" s="208"/>
      <c r="C670" s="212"/>
      <c r="D670" s="270"/>
      <c r="E670" s="208"/>
      <c r="F670" s="208"/>
      <c r="G670" s="208"/>
      <c r="H670" s="209"/>
      <c r="I670" s="210"/>
      <c r="J670" s="210"/>
      <c r="K670" s="260"/>
      <c r="L670" s="260"/>
      <c r="M670" s="260"/>
      <c r="N670" s="260"/>
      <c r="O670" s="260"/>
      <c r="P670" s="211"/>
      <c r="Q670" s="261"/>
      <c r="R670" s="208" t="str">
        <f ca="1">IF(ISERROR($V670),"",OFFSET('Smelter Look-up'!$C$4,$V670-4,0)&amp;"")</f>
        <v/>
      </c>
      <c r="S670" s="215" t="str">
        <f t="shared" ca="1" si="96"/>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si="97"/>
        <v>0</v>
      </c>
      <c r="Y670" s="263"/>
      <c r="Z670" s="263"/>
      <c r="AB670" s="265" t="str">
        <f t="shared" si="98"/>
        <v/>
      </c>
    </row>
    <row r="671" spans="1:28" s="264" customFormat="1" ht="20.399999999999999">
      <c r="A671" s="207"/>
      <c r="B671" s="208"/>
      <c r="C671" s="212"/>
      <c r="D671" s="270"/>
      <c r="E671" s="208"/>
      <c r="F671" s="208"/>
      <c r="G671" s="208"/>
      <c r="H671" s="209"/>
      <c r="I671" s="210"/>
      <c r="J671" s="210"/>
      <c r="K671" s="260"/>
      <c r="L671" s="260"/>
      <c r="M671" s="260"/>
      <c r="N671" s="260"/>
      <c r="O671" s="260"/>
      <c r="P671" s="211"/>
      <c r="Q671" s="261"/>
      <c r="R671" s="208" t="str">
        <f ca="1">IF(ISERROR($V671),"",OFFSET('Smelter Look-up'!$C$4,$V671-4,0)&amp;"")</f>
        <v/>
      </c>
      <c r="S671" s="215" t="str">
        <f t="shared" ca="1" si="96"/>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si="97"/>
        <v>0</v>
      </c>
      <c r="Y671" s="263"/>
      <c r="Z671" s="263"/>
      <c r="AB671" s="265" t="str">
        <f t="shared" si="98"/>
        <v/>
      </c>
    </row>
    <row r="672" spans="1:28" s="264" customFormat="1" ht="20.399999999999999">
      <c r="A672" s="207"/>
      <c r="B672" s="208"/>
      <c r="C672" s="212"/>
      <c r="D672" s="270"/>
      <c r="E672" s="208"/>
      <c r="F672" s="208"/>
      <c r="G672" s="208"/>
      <c r="H672" s="209"/>
      <c r="I672" s="210"/>
      <c r="J672" s="210"/>
      <c r="K672" s="260"/>
      <c r="L672" s="260"/>
      <c r="M672" s="260"/>
      <c r="N672" s="260"/>
      <c r="O672" s="260"/>
      <c r="P672" s="211"/>
      <c r="Q672" s="261"/>
      <c r="R672" s="208" t="str">
        <f ca="1">IF(ISERROR($V672),"",OFFSET('Smelter Look-up'!$C$4,$V672-4,0)&amp;"")</f>
        <v/>
      </c>
      <c r="S672" s="215" t="str">
        <f t="shared" ca="1" si="96"/>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si="97"/>
        <v>0</v>
      </c>
      <c r="Y672" s="263"/>
      <c r="Z672" s="263"/>
      <c r="AB672" s="265" t="str">
        <f t="shared" si="98"/>
        <v/>
      </c>
    </row>
    <row r="673" spans="1:28" s="264" customFormat="1" ht="20.399999999999999">
      <c r="A673" s="207"/>
      <c r="B673" s="208"/>
      <c r="C673" s="212"/>
      <c r="D673" s="270"/>
      <c r="E673" s="208"/>
      <c r="F673" s="208"/>
      <c r="G673" s="208"/>
      <c r="H673" s="209"/>
      <c r="I673" s="210"/>
      <c r="J673" s="210"/>
      <c r="K673" s="260"/>
      <c r="L673" s="260"/>
      <c r="M673" s="260"/>
      <c r="N673" s="260"/>
      <c r="O673" s="260"/>
      <c r="P673" s="211"/>
      <c r="Q673" s="261"/>
      <c r="R673" s="208" t="str">
        <f ca="1">IF(ISERROR($V673),"",OFFSET('Smelter Look-up'!$C$4,$V673-4,0)&amp;"")</f>
        <v/>
      </c>
      <c r="S673" s="215" t="str">
        <f t="shared" ca="1" si="96"/>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si="97"/>
        <v>0</v>
      </c>
      <c r="Y673" s="263"/>
      <c r="Z673" s="263"/>
      <c r="AB673" s="265" t="str">
        <f t="shared" si="98"/>
        <v/>
      </c>
    </row>
    <row r="674" spans="1:28" s="264" customFormat="1" ht="20.399999999999999">
      <c r="A674" s="207"/>
      <c r="B674" s="208"/>
      <c r="C674" s="212"/>
      <c r="D674" s="270"/>
      <c r="E674" s="208"/>
      <c r="F674" s="208"/>
      <c r="G674" s="208"/>
      <c r="H674" s="209"/>
      <c r="I674" s="210"/>
      <c r="J674" s="210"/>
      <c r="K674" s="260"/>
      <c r="L674" s="260"/>
      <c r="M674" s="260"/>
      <c r="N674" s="260"/>
      <c r="O674" s="260"/>
      <c r="P674" s="211"/>
      <c r="Q674" s="261"/>
      <c r="R674" s="208" t="str">
        <f ca="1">IF(ISERROR($V674),"",OFFSET('Smelter Look-up'!$C$4,$V674-4,0)&amp;"")</f>
        <v/>
      </c>
      <c r="S674" s="215" t="str">
        <f t="shared" ca="1" si="96"/>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si="97"/>
        <v>0</v>
      </c>
      <c r="Y674" s="263"/>
      <c r="Z674" s="263"/>
      <c r="AB674" s="265" t="str">
        <f t="shared" si="98"/>
        <v/>
      </c>
    </row>
    <row r="675" spans="1:28" s="264" customFormat="1" ht="20.399999999999999">
      <c r="A675" s="207"/>
      <c r="B675" s="208"/>
      <c r="C675" s="212"/>
      <c r="D675" s="270"/>
      <c r="E675" s="208"/>
      <c r="F675" s="208"/>
      <c r="G675" s="208"/>
      <c r="H675" s="209"/>
      <c r="I675" s="210"/>
      <c r="J675" s="210"/>
      <c r="K675" s="260"/>
      <c r="L675" s="260"/>
      <c r="M675" s="260"/>
      <c r="N675" s="260"/>
      <c r="O675" s="260"/>
      <c r="P675" s="211"/>
      <c r="Q675" s="261"/>
      <c r="R675" s="208" t="str">
        <f ca="1">IF(ISERROR($V675),"",OFFSET('Smelter Look-up'!$C$4,$V675-4,0)&amp;"")</f>
        <v/>
      </c>
      <c r="S675" s="215" t="str">
        <f t="shared" ca="1" si="96"/>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si="97"/>
        <v>0</v>
      </c>
      <c r="Y675" s="263"/>
      <c r="Z675" s="263"/>
      <c r="AB675" s="265" t="str">
        <f t="shared" si="98"/>
        <v/>
      </c>
    </row>
    <row r="676" spans="1:28" s="264" customFormat="1" ht="20.399999999999999">
      <c r="A676" s="207"/>
      <c r="B676" s="208"/>
      <c r="C676" s="212"/>
      <c r="D676" s="270"/>
      <c r="E676" s="208"/>
      <c r="F676" s="208"/>
      <c r="G676" s="208"/>
      <c r="H676" s="209"/>
      <c r="I676" s="210"/>
      <c r="J676" s="210"/>
      <c r="K676" s="260"/>
      <c r="L676" s="260"/>
      <c r="M676" s="260"/>
      <c r="N676" s="260"/>
      <c r="O676" s="260"/>
      <c r="P676" s="211"/>
      <c r="Q676" s="261"/>
      <c r="R676" s="208" t="str">
        <f ca="1">IF(ISERROR($V676),"",OFFSET('Smelter Look-up'!$C$4,$V676-4,0)&amp;"")</f>
        <v/>
      </c>
      <c r="S676" s="215" t="str">
        <f t="shared" ca="1" si="96"/>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si="97"/>
        <v>0</v>
      </c>
      <c r="Y676" s="263"/>
      <c r="Z676" s="263"/>
      <c r="AB676" s="265" t="str">
        <f t="shared" si="98"/>
        <v/>
      </c>
    </row>
    <row r="677" spans="1:28" s="264" customFormat="1" ht="20.399999999999999">
      <c r="A677" s="207"/>
      <c r="B677" s="208"/>
      <c r="C677" s="212"/>
      <c r="D677" s="270"/>
      <c r="E677" s="208"/>
      <c r="F677" s="208"/>
      <c r="G677" s="208"/>
      <c r="H677" s="209"/>
      <c r="I677" s="210"/>
      <c r="J677" s="210"/>
      <c r="K677" s="260"/>
      <c r="L677" s="260"/>
      <c r="M677" s="260"/>
      <c r="N677" s="260"/>
      <c r="O677" s="260"/>
      <c r="P677" s="211"/>
      <c r="Q677" s="261"/>
      <c r="R677" s="208" t="str">
        <f ca="1">IF(ISERROR($V677),"",OFFSET('Smelter Look-up'!$C$4,$V677-4,0)&amp;"")</f>
        <v/>
      </c>
      <c r="S677" s="215" t="str">
        <f t="shared" ca="1" si="96"/>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si="97"/>
        <v>0</v>
      </c>
      <c r="Y677" s="263"/>
      <c r="Z677" s="263"/>
      <c r="AB677" s="265" t="str">
        <f t="shared" si="98"/>
        <v/>
      </c>
    </row>
    <row r="678" spans="1:28" s="264" customFormat="1" ht="20.399999999999999">
      <c r="A678" s="207"/>
      <c r="B678" s="208"/>
      <c r="C678" s="212"/>
      <c r="D678" s="270"/>
      <c r="E678" s="208"/>
      <c r="F678" s="208"/>
      <c r="G678" s="208"/>
      <c r="H678" s="209"/>
      <c r="I678" s="210"/>
      <c r="J678" s="210"/>
      <c r="K678" s="260"/>
      <c r="L678" s="260"/>
      <c r="M678" s="260"/>
      <c r="N678" s="260"/>
      <c r="O678" s="260"/>
      <c r="P678" s="211"/>
      <c r="Q678" s="261"/>
      <c r="R678" s="208" t="str">
        <f ca="1">IF(ISERROR($V678),"",OFFSET('Smelter Look-up'!$C$4,$V678-4,0)&amp;"")</f>
        <v/>
      </c>
      <c r="S678" s="215" t="str">
        <f t="shared" ca="1" si="96"/>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si="97"/>
        <v>0</v>
      </c>
      <c r="Y678" s="263"/>
      <c r="Z678" s="263"/>
      <c r="AB678" s="265" t="str">
        <f t="shared" si="98"/>
        <v/>
      </c>
    </row>
    <row r="679" spans="1:28" s="264" customFormat="1" ht="20.399999999999999">
      <c r="A679" s="207"/>
      <c r="B679" s="208"/>
      <c r="C679" s="212"/>
      <c r="D679" s="270"/>
      <c r="E679" s="208"/>
      <c r="F679" s="208"/>
      <c r="G679" s="208"/>
      <c r="H679" s="209"/>
      <c r="I679" s="210"/>
      <c r="J679" s="210"/>
      <c r="K679" s="260"/>
      <c r="L679" s="260"/>
      <c r="M679" s="260"/>
      <c r="N679" s="260"/>
      <c r="O679" s="260"/>
      <c r="P679" s="211"/>
      <c r="Q679" s="261"/>
      <c r="R679" s="208" t="str">
        <f ca="1">IF(ISERROR($V679),"",OFFSET('Smelter Look-up'!$C$4,$V679-4,0)&amp;"")</f>
        <v/>
      </c>
      <c r="S679" s="215" t="str">
        <f t="shared" ca="1" si="96"/>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si="97"/>
        <v>0</v>
      </c>
      <c r="Y679" s="263"/>
      <c r="Z679" s="263"/>
      <c r="AB679" s="265" t="str">
        <f t="shared" si="98"/>
        <v/>
      </c>
    </row>
    <row r="680" spans="1:28" s="264" customFormat="1" ht="20.399999999999999">
      <c r="A680" s="207"/>
      <c r="B680" s="208"/>
      <c r="C680" s="212"/>
      <c r="D680" s="270"/>
      <c r="E680" s="208"/>
      <c r="F680" s="208"/>
      <c r="G680" s="208"/>
      <c r="H680" s="209"/>
      <c r="I680" s="210"/>
      <c r="J680" s="210"/>
      <c r="K680" s="260"/>
      <c r="L680" s="260"/>
      <c r="M680" s="260"/>
      <c r="N680" s="260"/>
      <c r="O680" s="260"/>
      <c r="P680" s="211"/>
      <c r="Q680" s="261"/>
      <c r="R680" s="208" t="str">
        <f ca="1">IF(ISERROR($V680),"",OFFSET('Smelter Look-up'!$C$4,$V680-4,0)&amp;"")</f>
        <v/>
      </c>
      <c r="S680" s="215" t="str">
        <f t="shared" ca="1" si="96"/>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si="97"/>
        <v>0</v>
      </c>
      <c r="Y680" s="263"/>
      <c r="Z680" s="263"/>
      <c r="AB680" s="265" t="str">
        <f t="shared" si="98"/>
        <v/>
      </c>
    </row>
    <row r="681" spans="1:28" s="264" customFormat="1" ht="20.399999999999999">
      <c r="A681" s="207"/>
      <c r="B681" s="208"/>
      <c r="C681" s="212"/>
      <c r="D681" s="270"/>
      <c r="E681" s="208"/>
      <c r="F681" s="208"/>
      <c r="G681" s="208"/>
      <c r="H681" s="209"/>
      <c r="I681" s="210"/>
      <c r="J681" s="210"/>
      <c r="K681" s="260"/>
      <c r="L681" s="260"/>
      <c r="M681" s="260"/>
      <c r="N681" s="260"/>
      <c r="O681" s="260"/>
      <c r="P681" s="211"/>
      <c r="Q681" s="261"/>
      <c r="R681" s="208" t="str">
        <f ca="1">IF(ISERROR($V681),"",OFFSET('Smelter Look-up'!$C$4,$V681-4,0)&amp;"")</f>
        <v/>
      </c>
      <c r="S681" s="215" t="str">
        <f t="shared" ca="1" si="96"/>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si="97"/>
        <v>0</v>
      </c>
      <c r="Y681" s="263"/>
      <c r="Z681" s="263"/>
      <c r="AB681" s="265" t="str">
        <f t="shared" si="98"/>
        <v/>
      </c>
    </row>
    <row r="682" spans="1:28" s="264" customFormat="1" ht="20.399999999999999">
      <c r="A682" s="207"/>
      <c r="B682" s="208"/>
      <c r="C682" s="212"/>
      <c r="D682" s="270"/>
      <c r="E682" s="208"/>
      <c r="F682" s="208"/>
      <c r="G682" s="208"/>
      <c r="H682" s="209"/>
      <c r="I682" s="210"/>
      <c r="J682" s="210"/>
      <c r="K682" s="260"/>
      <c r="L682" s="260"/>
      <c r="M682" s="260"/>
      <c r="N682" s="260"/>
      <c r="O682" s="260"/>
      <c r="P682" s="211"/>
      <c r="Q682" s="261"/>
      <c r="R682" s="208" t="str">
        <f ca="1">IF(ISERROR($V682),"",OFFSET('Smelter Look-up'!$C$4,$V682-4,0)&amp;"")</f>
        <v/>
      </c>
      <c r="S682" s="215" t="str">
        <f t="shared" ca="1" si="96"/>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si="97"/>
        <v>0</v>
      </c>
      <c r="Y682" s="263"/>
      <c r="Z682" s="263"/>
      <c r="AB682" s="265" t="str">
        <f t="shared" si="98"/>
        <v/>
      </c>
    </row>
    <row r="683" spans="1:28" s="264" customFormat="1" ht="20.399999999999999">
      <c r="A683" s="207"/>
      <c r="B683" s="208"/>
      <c r="C683" s="212"/>
      <c r="D683" s="270"/>
      <c r="E683" s="208"/>
      <c r="F683" s="208"/>
      <c r="G683" s="208"/>
      <c r="H683" s="209"/>
      <c r="I683" s="210"/>
      <c r="J683" s="210"/>
      <c r="K683" s="260"/>
      <c r="L683" s="260"/>
      <c r="M683" s="260"/>
      <c r="N683" s="260"/>
      <c r="O683" s="260"/>
      <c r="P683" s="211"/>
      <c r="Q683" s="261"/>
      <c r="R683" s="208" t="str">
        <f ca="1">IF(ISERROR($V683),"",OFFSET('Smelter Look-up'!$C$4,$V683-4,0)&amp;"")</f>
        <v/>
      </c>
      <c r="S683" s="215" t="str">
        <f t="shared" ca="1" si="96"/>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si="97"/>
        <v>0</v>
      </c>
      <c r="Y683" s="263"/>
      <c r="Z683" s="263"/>
      <c r="AB683" s="265" t="str">
        <f t="shared" si="98"/>
        <v/>
      </c>
    </row>
    <row r="684" spans="1:28" s="264" customFormat="1" ht="20.399999999999999">
      <c r="A684" s="207"/>
      <c r="B684" s="208"/>
      <c r="C684" s="212"/>
      <c r="D684" s="270"/>
      <c r="E684" s="208"/>
      <c r="F684" s="208"/>
      <c r="G684" s="208"/>
      <c r="H684" s="209"/>
      <c r="I684" s="210"/>
      <c r="J684" s="210"/>
      <c r="K684" s="260"/>
      <c r="L684" s="260"/>
      <c r="M684" s="260"/>
      <c r="N684" s="260"/>
      <c r="O684" s="260"/>
      <c r="P684" s="211"/>
      <c r="Q684" s="261"/>
      <c r="R684" s="208" t="str">
        <f ca="1">IF(ISERROR($V684),"",OFFSET('Smelter Look-up'!$C$4,$V684-4,0)&amp;"")</f>
        <v/>
      </c>
      <c r="S684" s="215" t="str">
        <f t="shared" ca="1" si="96"/>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si="97"/>
        <v>0</v>
      </c>
      <c r="Y684" s="263"/>
      <c r="Z684" s="263"/>
      <c r="AB684" s="265" t="str">
        <f t="shared" si="98"/>
        <v/>
      </c>
    </row>
    <row r="685" spans="1:28" s="264" customFormat="1" ht="20.399999999999999">
      <c r="A685" s="207"/>
      <c r="B685" s="208"/>
      <c r="C685" s="212"/>
      <c r="D685" s="270"/>
      <c r="E685" s="208"/>
      <c r="F685" s="208"/>
      <c r="G685" s="208"/>
      <c r="H685" s="209"/>
      <c r="I685" s="210"/>
      <c r="J685" s="210"/>
      <c r="K685" s="260"/>
      <c r="L685" s="260"/>
      <c r="M685" s="260"/>
      <c r="N685" s="260"/>
      <c r="O685" s="260"/>
      <c r="P685" s="211"/>
      <c r="Q685" s="261"/>
      <c r="R685" s="208" t="str">
        <f ca="1">IF(ISERROR($V685),"",OFFSET('Smelter Look-up'!$C$4,$V685-4,0)&amp;"")</f>
        <v/>
      </c>
      <c r="S685" s="215" t="str">
        <f t="shared" ca="1" si="96"/>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si="97"/>
        <v>0</v>
      </c>
      <c r="Y685" s="263"/>
      <c r="Z685" s="263"/>
      <c r="AB685" s="265" t="str">
        <f t="shared" si="98"/>
        <v/>
      </c>
    </row>
    <row r="686" spans="1:28" s="264" customFormat="1" ht="20.399999999999999">
      <c r="A686" s="207"/>
      <c r="B686" s="208"/>
      <c r="C686" s="212"/>
      <c r="D686" s="270"/>
      <c r="E686" s="208"/>
      <c r="F686" s="208"/>
      <c r="G686" s="208"/>
      <c r="H686" s="209"/>
      <c r="I686" s="210"/>
      <c r="J686" s="210"/>
      <c r="K686" s="260"/>
      <c r="L686" s="260"/>
      <c r="M686" s="260"/>
      <c r="N686" s="260"/>
      <c r="O686" s="260"/>
      <c r="P686" s="211"/>
      <c r="Q686" s="261"/>
      <c r="R686" s="208" t="str">
        <f ca="1">IF(ISERROR($V686),"",OFFSET('Smelter Look-up'!$C$4,$V686-4,0)&amp;"")</f>
        <v/>
      </c>
      <c r="S686" s="215" t="str">
        <f t="shared" ca="1" si="96"/>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si="97"/>
        <v>0</v>
      </c>
      <c r="Y686" s="263"/>
      <c r="Z686" s="263"/>
      <c r="AB686" s="265" t="str">
        <f t="shared" si="98"/>
        <v/>
      </c>
    </row>
    <row r="687" spans="1:28" s="264" customFormat="1" ht="20.399999999999999">
      <c r="A687" s="207"/>
      <c r="B687" s="208"/>
      <c r="C687" s="212"/>
      <c r="D687" s="270"/>
      <c r="E687" s="208"/>
      <c r="F687" s="208"/>
      <c r="G687" s="208"/>
      <c r="H687" s="209"/>
      <c r="I687" s="210"/>
      <c r="J687" s="210"/>
      <c r="K687" s="260"/>
      <c r="L687" s="260"/>
      <c r="M687" s="260"/>
      <c r="N687" s="260"/>
      <c r="O687" s="260"/>
      <c r="P687" s="211"/>
      <c r="Q687" s="261"/>
      <c r="R687" s="208" t="str">
        <f ca="1">IF(ISERROR($V687),"",OFFSET('Smelter Look-up'!$C$4,$V687-4,0)&amp;"")</f>
        <v/>
      </c>
      <c r="S687" s="215" t="str">
        <f t="shared" ca="1" si="96"/>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si="97"/>
        <v>0</v>
      </c>
      <c r="Y687" s="263"/>
      <c r="Z687" s="263"/>
      <c r="AB687" s="265" t="str">
        <f t="shared" si="98"/>
        <v/>
      </c>
    </row>
    <row r="688" spans="1:28" s="264" customFormat="1" ht="20.399999999999999">
      <c r="A688" s="207"/>
      <c r="B688" s="208"/>
      <c r="C688" s="212"/>
      <c r="D688" s="270"/>
      <c r="E688" s="208"/>
      <c r="F688" s="208"/>
      <c r="G688" s="208"/>
      <c r="H688" s="209"/>
      <c r="I688" s="210"/>
      <c r="J688" s="210"/>
      <c r="K688" s="260"/>
      <c r="L688" s="260"/>
      <c r="M688" s="260"/>
      <c r="N688" s="260"/>
      <c r="O688" s="260"/>
      <c r="P688" s="211"/>
      <c r="Q688" s="261"/>
      <c r="R688" s="208" t="str">
        <f ca="1">IF(ISERROR($V688),"",OFFSET('Smelter Look-up'!$C$4,$V688-4,0)&amp;"")</f>
        <v/>
      </c>
      <c r="S688" s="215" t="str">
        <f t="shared" ca="1" si="96"/>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si="97"/>
        <v>0</v>
      </c>
      <c r="Y688" s="263"/>
      <c r="Z688" s="263"/>
      <c r="AB688" s="265" t="str">
        <f t="shared" si="98"/>
        <v/>
      </c>
    </row>
    <row r="689" spans="1:28" s="264" customFormat="1" ht="20.399999999999999">
      <c r="A689" s="207"/>
      <c r="B689" s="208"/>
      <c r="C689" s="212"/>
      <c r="D689" s="270"/>
      <c r="E689" s="208"/>
      <c r="F689" s="208"/>
      <c r="G689" s="208"/>
      <c r="H689" s="209"/>
      <c r="I689" s="210"/>
      <c r="J689" s="210"/>
      <c r="K689" s="260"/>
      <c r="L689" s="260"/>
      <c r="M689" s="260"/>
      <c r="N689" s="260"/>
      <c r="O689" s="260"/>
      <c r="P689" s="211"/>
      <c r="Q689" s="261"/>
      <c r="R689" s="208" t="str">
        <f ca="1">IF(ISERROR($V689),"",OFFSET('Smelter Look-up'!$C$4,$V689-4,0)&amp;"")</f>
        <v/>
      </c>
      <c r="S689" s="215" t="str">
        <f t="shared" ca="1" si="96"/>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si="97"/>
        <v>0</v>
      </c>
      <c r="Y689" s="263"/>
      <c r="Z689" s="263"/>
      <c r="AB689" s="265" t="str">
        <f t="shared" si="98"/>
        <v/>
      </c>
    </row>
    <row r="690" spans="1:28" s="264" customFormat="1" ht="20.399999999999999">
      <c r="A690" s="207"/>
      <c r="B690" s="208"/>
      <c r="C690" s="212"/>
      <c r="D690" s="270"/>
      <c r="E690" s="208"/>
      <c r="F690" s="208"/>
      <c r="G690" s="208"/>
      <c r="H690" s="209"/>
      <c r="I690" s="210"/>
      <c r="J690" s="210"/>
      <c r="K690" s="260"/>
      <c r="L690" s="260"/>
      <c r="M690" s="260"/>
      <c r="N690" s="260"/>
      <c r="O690" s="260"/>
      <c r="P690" s="211"/>
      <c r="Q690" s="261"/>
      <c r="R690" s="208" t="str">
        <f ca="1">IF(ISERROR($V690),"",OFFSET('Smelter Look-up'!$C$4,$V690-4,0)&amp;"")</f>
        <v/>
      </c>
      <c r="S690" s="215" t="str">
        <f t="shared" ca="1" si="96"/>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si="97"/>
        <v>0</v>
      </c>
      <c r="Y690" s="263"/>
      <c r="Z690" s="263"/>
      <c r="AB690" s="265" t="str">
        <f t="shared" si="98"/>
        <v/>
      </c>
    </row>
    <row r="691" spans="1:28" s="264" customFormat="1" ht="20.399999999999999">
      <c r="A691" s="207"/>
      <c r="B691" s="208"/>
      <c r="C691" s="212"/>
      <c r="D691" s="270"/>
      <c r="E691" s="208"/>
      <c r="F691" s="208"/>
      <c r="G691" s="208"/>
      <c r="H691" s="209"/>
      <c r="I691" s="210"/>
      <c r="J691" s="210"/>
      <c r="K691" s="260"/>
      <c r="L691" s="260"/>
      <c r="M691" s="260"/>
      <c r="N691" s="260"/>
      <c r="O691" s="260"/>
      <c r="P691" s="211"/>
      <c r="Q691" s="261"/>
      <c r="R691" s="208" t="str">
        <f ca="1">IF(ISERROR($V691),"",OFFSET('Smelter Look-up'!$C$4,$V691-4,0)&amp;"")</f>
        <v/>
      </c>
      <c r="S691" s="215" t="str">
        <f t="shared" ca="1" si="96"/>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si="97"/>
        <v>0</v>
      </c>
      <c r="Y691" s="263"/>
      <c r="Z691" s="263"/>
      <c r="AB691" s="265" t="str">
        <f t="shared" si="98"/>
        <v/>
      </c>
    </row>
    <row r="692" spans="1:28" s="264" customFormat="1" ht="20.399999999999999">
      <c r="A692" s="207"/>
      <c r="B692" s="208"/>
      <c r="C692" s="212"/>
      <c r="D692" s="270"/>
      <c r="E692" s="208"/>
      <c r="F692" s="208"/>
      <c r="G692" s="208"/>
      <c r="H692" s="209"/>
      <c r="I692" s="210"/>
      <c r="J692" s="210"/>
      <c r="K692" s="260"/>
      <c r="L692" s="260"/>
      <c r="M692" s="260"/>
      <c r="N692" s="260"/>
      <c r="O692" s="260"/>
      <c r="P692" s="211"/>
      <c r="Q692" s="261"/>
      <c r="R692" s="208" t="str">
        <f ca="1">IF(ISERROR($V692),"",OFFSET('Smelter Look-up'!$C$4,$V692-4,0)&amp;"")</f>
        <v/>
      </c>
      <c r="S692" s="215" t="str">
        <f t="shared" ca="1" si="96"/>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si="97"/>
        <v>0</v>
      </c>
      <c r="Y692" s="263"/>
      <c r="Z692" s="263"/>
      <c r="AB692" s="265" t="str">
        <f t="shared" si="98"/>
        <v/>
      </c>
    </row>
    <row r="693" spans="1:28" s="264" customFormat="1" ht="20.399999999999999">
      <c r="A693" s="207"/>
      <c r="B693" s="208"/>
      <c r="C693" s="212"/>
      <c r="D693" s="270"/>
      <c r="E693" s="208"/>
      <c r="F693" s="208"/>
      <c r="G693" s="208"/>
      <c r="H693" s="209"/>
      <c r="I693" s="210"/>
      <c r="J693" s="210"/>
      <c r="K693" s="260"/>
      <c r="L693" s="260"/>
      <c r="M693" s="260"/>
      <c r="N693" s="260"/>
      <c r="O693" s="260"/>
      <c r="P693" s="211"/>
      <c r="Q693" s="261"/>
      <c r="R693" s="208" t="str">
        <f ca="1">IF(ISERROR($V693),"",OFFSET('Smelter Look-up'!$C$4,$V693-4,0)&amp;"")</f>
        <v/>
      </c>
      <c r="S693" s="215" t="str">
        <f t="shared" ca="1" si="96"/>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si="97"/>
        <v>0</v>
      </c>
      <c r="Y693" s="263"/>
      <c r="Z693" s="263"/>
      <c r="AB693" s="265" t="str">
        <f t="shared" si="98"/>
        <v/>
      </c>
    </row>
    <row r="694" spans="1:28" s="264" customFormat="1" ht="20.399999999999999">
      <c r="A694" s="207"/>
      <c r="B694" s="208"/>
      <c r="C694" s="212"/>
      <c r="D694" s="270"/>
      <c r="E694" s="208"/>
      <c r="F694" s="208"/>
      <c r="G694" s="208"/>
      <c r="H694" s="209"/>
      <c r="I694" s="210"/>
      <c r="J694" s="210"/>
      <c r="K694" s="260"/>
      <c r="L694" s="260"/>
      <c r="M694" s="260"/>
      <c r="N694" s="260"/>
      <c r="O694" s="260"/>
      <c r="P694" s="211"/>
      <c r="Q694" s="261"/>
      <c r="R694" s="208" t="str">
        <f ca="1">IF(ISERROR($V694),"",OFFSET('Smelter Look-up'!$C$4,$V694-4,0)&amp;"")</f>
        <v/>
      </c>
      <c r="S694" s="215" t="str">
        <f t="shared" ca="1" si="96"/>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si="97"/>
        <v>0</v>
      </c>
      <c r="Y694" s="263"/>
      <c r="Z694" s="263"/>
      <c r="AB694" s="265" t="str">
        <f t="shared" si="98"/>
        <v/>
      </c>
    </row>
    <row r="695" spans="1:28" s="264" customFormat="1" ht="20.399999999999999">
      <c r="A695" s="207"/>
      <c r="B695" s="208"/>
      <c r="C695" s="212"/>
      <c r="D695" s="270"/>
      <c r="E695" s="208"/>
      <c r="F695" s="208"/>
      <c r="G695" s="208"/>
      <c r="H695" s="209"/>
      <c r="I695" s="210"/>
      <c r="J695" s="210"/>
      <c r="K695" s="260"/>
      <c r="L695" s="260"/>
      <c r="M695" s="260"/>
      <c r="N695" s="260"/>
      <c r="O695" s="260"/>
      <c r="P695" s="211"/>
      <c r="Q695" s="261"/>
      <c r="R695" s="208" t="str">
        <f ca="1">IF(ISERROR($V695),"",OFFSET('Smelter Look-up'!$C$4,$V695-4,0)&amp;"")</f>
        <v/>
      </c>
      <c r="S695" s="215" t="str">
        <f t="shared" ca="1" si="96"/>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si="97"/>
        <v>0</v>
      </c>
      <c r="Y695" s="263"/>
      <c r="Z695" s="263"/>
      <c r="AB695" s="265" t="str">
        <f t="shared" si="98"/>
        <v/>
      </c>
    </row>
    <row r="696" spans="1:28" s="264" customFormat="1" ht="20.399999999999999">
      <c r="A696" s="207"/>
      <c r="B696" s="208"/>
      <c r="C696" s="212"/>
      <c r="D696" s="270"/>
      <c r="E696" s="208"/>
      <c r="F696" s="208"/>
      <c r="G696" s="208"/>
      <c r="H696" s="209"/>
      <c r="I696" s="210"/>
      <c r="J696" s="210"/>
      <c r="K696" s="260"/>
      <c r="L696" s="260"/>
      <c r="M696" s="260"/>
      <c r="N696" s="260"/>
      <c r="O696" s="260"/>
      <c r="P696" s="211"/>
      <c r="Q696" s="261"/>
      <c r="R696" s="208" t="str">
        <f ca="1">IF(ISERROR($V696),"",OFFSET('Smelter Look-up'!$C$4,$V696-4,0)&amp;"")</f>
        <v/>
      </c>
      <c r="S696" s="215" t="str">
        <f t="shared" ca="1" si="96"/>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si="97"/>
        <v>0</v>
      </c>
      <c r="Y696" s="263"/>
      <c r="Z696" s="263"/>
      <c r="AB696" s="265" t="str">
        <f t="shared" si="98"/>
        <v/>
      </c>
    </row>
    <row r="697" spans="1:28" s="264" customFormat="1" ht="20.399999999999999">
      <c r="A697" s="207"/>
      <c r="B697" s="208"/>
      <c r="C697" s="212"/>
      <c r="D697" s="270"/>
      <c r="E697" s="208"/>
      <c r="F697" s="208"/>
      <c r="G697" s="208"/>
      <c r="H697" s="209"/>
      <c r="I697" s="210"/>
      <c r="J697" s="210"/>
      <c r="K697" s="260"/>
      <c r="L697" s="260"/>
      <c r="M697" s="260"/>
      <c r="N697" s="260"/>
      <c r="O697" s="260"/>
      <c r="P697" s="211"/>
      <c r="Q697" s="261"/>
      <c r="R697" s="208" t="str">
        <f ca="1">IF(ISERROR($V697),"",OFFSET('Smelter Look-up'!$C$4,$V697-4,0)&amp;"")</f>
        <v/>
      </c>
      <c r="S697" s="215" t="str">
        <f t="shared" ca="1" si="96"/>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si="97"/>
        <v>0</v>
      </c>
      <c r="Y697" s="263"/>
      <c r="Z697" s="263"/>
      <c r="AB697" s="265" t="str">
        <f t="shared" si="98"/>
        <v/>
      </c>
    </row>
    <row r="698" spans="1:28" s="264" customFormat="1" ht="20.399999999999999">
      <c r="A698" s="207"/>
      <c r="B698" s="208"/>
      <c r="C698" s="212"/>
      <c r="D698" s="270"/>
      <c r="E698" s="208"/>
      <c r="F698" s="208"/>
      <c r="G698" s="208"/>
      <c r="H698" s="209"/>
      <c r="I698" s="210"/>
      <c r="J698" s="210"/>
      <c r="K698" s="260"/>
      <c r="L698" s="260"/>
      <c r="M698" s="260"/>
      <c r="N698" s="260"/>
      <c r="O698" s="260"/>
      <c r="P698" s="211"/>
      <c r="Q698" s="261"/>
      <c r="R698" s="208" t="str">
        <f ca="1">IF(ISERROR($V698),"",OFFSET('Smelter Look-up'!$C$4,$V698-4,0)&amp;"")</f>
        <v/>
      </c>
      <c r="S698" s="215" t="str">
        <f t="shared" ca="1" si="96"/>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si="97"/>
        <v>0</v>
      </c>
      <c r="Y698" s="263"/>
      <c r="Z698" s="263"/>
      <c r="AB698" s="265" t="str">
        <f t="shared" si="98"/>
        <v/>
      </c>
    </row>
    <row r="699" spans="1:28" s="264" customFormat="1" ht="20.399999999999999">
      <c r="A699" s="207"/>
      <c r="B699" s="208"/>
      <c r="C699" s="212"/>
      <c r="D699" s="270"/>
      <c r="E699" s="208"/>
      <c r="F699" s="208"/>
      <c r="G699" s="208"/>
      <c r="H699" s="209"/>
      <c r="I699" s="210"/>
      <c r="J699" s="210"/>
      <c r="K699" s="260"/>
      <c r="L699" s="260"/>
      <c r="M699" s="260"/>
      <c r="N699" s="260"/>
      <c r="O699" s="260"/>
      <c r="P699" s="211"/>
      <c r="Q699" s="261"/>
      <c r="R699" s="208" t="str">
        <f ca="1">IF(ISERROR($V699),"",OFFSET('Smelter Look-up'!$C$4,$V699-4,0)&amp;"")</f>
        <v/>
      </c>
      <c r="S699" s="215" t="str">
        <f t="shared" ref="S699" ca="1" si="99">IF(B699="","",IF(ISERROR(MATCH($E699,CL,0)),"Unknown",INDIRECT("'C'!$A$"&amp;MATCH($E699,CL,0)+1)))</f>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ref="X699" si="100">IF(AND(C699="Smelter not listed",OR(LEN(D699)=0,LEN(E699)=0)),1,0)</f>
        <v>0</v>
      </c>
      <c r="Y699" s="263"/>
      <c r="Z699" s="263"/>
      <c r="AB699" s="265" t="str">
        <f t="shared" ref="AB699" si="101">B699&amp;C699</f>
        <v/>
      </c>
    </row>
    <row r="700" spans="1:28" s="264" customFormat="1" ht="20.399999999999999">
      <c r="A700" s="207"/>
      <c r="B700" s="208"/>
      <c r="C700" s="212"/>
      <c r="D700" s="270"/>
      <c r="E700" s="208"/>
      <c r="F700" s="208"/>
      <c r="G700" s="208"/>
      <c r="H700" s="209"/>
      <c r="I700" s="210"/>
      <c r="J700" s="210"/>
      <c r="K700" s="260"/>
      <c r="L700" s="260"/>
      <c r="M700" s="260"/>
      <c r="N700" s="260"/>
      <c r="O700" s="260"/>
      <c r="P700" s="211"/>
      <c r="Q700" s="261"/>
      <c r="R700" s="208" t="str">
        <f ca="1">IF(ISERROR($V700),"",OFFSET('Smelter Look-up'!$C$4,$V700-4,0)&amp;"")</f>
        <v/>
      </c>
      <c r="S700" s="215" t="str">
        <f t="shared" ref="S700:S731" ca="1" si="102">IF(B700="","",IF(ISERROR(MATCH($E700,CL,0)),"Unknown",INDIRECT("'C'!$A$"&amp;MATCH($E700,CL,0)+1)))</f>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ref="X700:X731" si="103">IF(AND(C700="Smelter not listed",OR(LEN(D700)=0,LEN(E700)=0)),1,0)</f>
        <v>0</v>
      </c>
      <c r="Y700" s="263"/>
      <c r="Z700" s="263"/>
      <c r="AB700" s="265" t="str">
        <f t="shared" ref="AB700:AB731" si="104">B700&amp;C700</f>
        <v/>
      </c>
    </row>
    <row r="701" spans="1:28" s="264" customFormat="1" ht="20.399999999999999">
      <c r="A701" s="207"/>
      <c r="B701" s="208"/>
      <c r="C701" s="212"/>
      <c r="D701" s="270"/>
      <c r="E701" s="208"/>
      <c r="F701" s="208"/>
      <c r="G701" s="208"/>
      <c r="H701" s="209"/>
      <c r="I701" s="210"/>
      <c r="J701" s="210"/>
      <c r="K701" s="260"/>
      <c r="L701" s="260"/>
      <c r="M701" s="260"/>
      <c r="N701" s="260"/>
      <c r="O701" s="260"/>
      <c r="P701" s="211"/>
      <c r="Q701" s="261"/>
      <c r="R701" s="208" t="str">
        <f ca="1">IF(ISERROR($V701),"",OFFSET('Smelter Look-up'!$C$4,$V701-4,0)&amp;"")</f>
        <v/>
      </c>
      <c r="S701" s="215" t="str">
        <f t="shared" ca="1" si="102"/>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si="103"/>
        <v>0</v>
      </c>
      <c r="Y701" s="263"/>
      <c r="Z701" s="263"/>
      <c r="AB701" s="265" t="str">
        <f t="shared" si="104"/>
        <v/>
      </c>
    </row>
    <row r="702" spans="1:28" s="264" customFormat="1" ht="20.399999999999999">
      <c r="A702" s="207"/>
      <c r="B702" s="208"/>
      <c r="C702" s="212"/>
      <c r="D702" s="270"/>
      <c r="E702" s="208"/>
      <c r="F702" s="208"/>
      <c r="G702" s="208"/>
      <c r="H702" s="209"/>
      <c r="I702" s="210"/>
      <c r="J702" s="210"/>
      <c r="K702" s="260"/>
      <c r="L702" s="260"/>
      <c r="M702" s="260"/>
      <c r="N702" s="260"/>
      <c r="O702" s="260"/>
      <c r="P702" s="211"/>
      <c r="Q702" s="261"/>
      <c r="R702" s="208" t="str">
        <f ca="1">IF(ISERROR($V702),"",OFFSET('Smelter Look-up'!$C$4,$V702-4,0)&amp;"")</f>
        <v/>
      </c>
      <c r="S702" s="215" t="str">
        <f t="shared" ca="1" si="102"/>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si="103"/>
        <v>0</v>
      </c>
      <c r="Y702" s="263"/>
      <c r="Z702" s="263"/>
      <c r="AB702" s="265" t="str">
        <f t="shared" si="104"/>
        <v/>
      </c>
    </row>
    <row r="703" spans="1:28" s="264" customFormat="1" ht="20.399999999999999">
      <c r="A703" s="207"/>
      <c r="B703" s="208"/>
      <c r="C703" s="212"/>
      <c r="D703" s="270"/>
      <c r="E703" s="208"/>
      <c r="F703" s="208"/>
      <c r="G703" s="208"/>
      <c r="H703" s="209"/>
      <c r="I703" s="210"/>
      <c r="J703" s="210"/>
      <c r="K703" s="260"/>
      <c r="L703" s="260"/>
      <c r="M703" s="260"/>
      <c r="N703" s="260"/>
      <c r="O703" s="260"/>
      <c r="P703" s="211"/>
      <c r="Q703" s="261"/>
      <c r="R703" s="208" t="str">
        <f ca="1">IF(ISERROR($V703),"",OFFSET('Smelter Look-up'!$C$4,$V703-4,0)&amp;"")</f>
        <v/>
      </c>
      <c r="S703" s="215" t="str">
        <f t="shared" ca="1" si="102"/>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si="103"/>
        <v>0</v>
      </c>
      <c r="Y703" s="263"/>
      <c r="Z703" s="263"/>
      <c r="AB703" s="265" t="str">
        <f t="shared" si="104"/>
        <v/>
      </c>
    </row>
    <row r="704" spans="1:28" s="264" customFormat="1" ht="20.399999999999999">
      <c r="A704" s="207"/>
      <c r="B704" s="208"/>
      <c r="C704" s="212"/>
      <c r="D704" s="270"/>
      <c r="E704" s="208"/>
      <c r="F704" s="208"/>
      <c r="G704" s="208"/>
      <c r="H704" s="209"/>
      <c r="I704" s="210"/>
      <c r="J704" s="210"/>
      <c r="K704" s="260"/>
      <c r="L704" s="260"/>
      <c r="M704" s="260"/>
      <c r="N704" s="260"/>
      <c r="O704" s="260"/>
      <c r="P704" s="211"/>
      <c r="Q704" s="261"/>
      <c r="R704" s="208" t="str">
        <f ca="1">IF(ISERROR($V704),"",OFFSET('Smelter Look-up'!$C$4,$V704-4,0)&amp;"")</f>
        <v/>
      </c>
      <c r="S704" s="215" t="str">
        <f t="shared" ca="1" si="102"/>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si="103"/>
        <v>0</v>
      </c>
      <c r="Y704" s="263"/>
      <c r="Z704" s="263"/>
      <c r="AB704" s="265" t="str">
        <f t="shared" si="104"/>
        <v/>
      </c>
    </row>
    <row r="705" spans="1:28" s="264" customFormat="1" ht="20.399999999999999">
      <c r="A705" s="207"/>
      <c r="B705" s="208"/>
      <c r="C705" s="212"/>
      <c r="D705" s="270"/>
      <c r="E705" s="208"/>
      <c r="F705" s="208"/>
      <c r="G705" s="208"/>
      <c r="H705" s="209"/>
      <c r="I705" s="210"/>
      <c r="J705" s="210"/>
      <c r="K705" s="260"/>
      <c r="L705" s="260"/>
      <c r="M705" s="260"/>
      <c r="N705" s="260"/>
      <c r="O705" s="260"/>
      <c r="P705" s="211"/>
      <c r="Q705" s="261"/>
      <c r="R705" s="208" t="str">
        <f ca="1">IF(ISERROR($V705),"",OFFSET('Smelter Look-up'!$C$4,$V705-4,0)&amp;"")</f>
        <v/>
      </c>
      <c r="S705" s="215" t="str">
        <f t="shared" ca="1" si="102"/>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si="103"/>
        <v>0</v>
      </c>
      <c r="Y705" s="263"/>
      <c r="Z705" s="263"/>
      <c r="AB705" s="265" t="str">
        <f t="shared" si="104"/>
        <v/>
      </c>
    </row>
    <row r="706" spans="1:28" s="264" customFormat="1" ht="20.399999999999999">
      <c r="A706" s="207"/>
      <c r="B706" s="208"/>
      <c r="C706" s="212"/>
      <c r="D706" s="270"/>
      <c r="E706" s="208"/>
      <c r="F706" s="208"/>
      <c r="G706" s="208"/>
      <c r="H706" s="209"/>
      <c r="I706" s="210"/>
      <c r="J706" s="210"/>
      <c r="K706" s="260"/>
      <c r="L706" s="260"/>
      <c r="M706" s="260"/>
      <c r="N706" s="260"/>
      <c r="O706" s="260"/>
      <c r="P706" s="211"/>
      <c r="Q706" s="261"/>
      <c r="R706" s="208" t="str">
        <f ca="1">IF(ISERROR($V706),"",OFFSET('Smelter Look-up'!$C$4,$V706-4,0)&amp;"")</f>
        <v/>
      </c>
      <c r="S706" s="215" t="str">
        <f t="shared" ca="1" si="102"/>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si="103"/>
        <v>0</v>
      </c>
      <c r="Y706" s="263"/>
      <c r="Z706" s="263"/>
      <c r="AB706" s="265" t="str">
        <f t="shared" si="104"/>
        <v/>
      </c>
    </row>
    <row r="707" spans="1:28" s="264" customFormat="1" ht="20.399999999999999">
      <c r="A707" s="207"/>
      <c r="B707" s="208"/>
      <c r="C707" s="212"/>
      <c r="D707" s="270"/>
      <c r="E707" s="208"/>
      <c r="F707" s="208"/>
      <c r="G707" s="208"/>
      <c r="H707" s="209"/>
      <c r="I707" s="210"/>
      <c r="J707" s="210"/>
      <c r="K707" s="260"/>
      <c r="L707" s="260"/>
      <c r="M707" s="260"/>
      <c r="N707" s="260"/>
      <c r="O707" s="260"/>
      <c r="P707" s="211"/>
      <c r="Q707" s="261"/>
      <c r="R707" s="208" t="str">
        <f ca="1">IF(ISERROR($V707),"",OFFSET('Smelter Look-up'!$C$4,$V707-4,0)&amp;"")</f>
        <v/>
      </c>
      <c r="S707" s="215" t="str">
        <f t="shared" ca="1" si="102"/>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si="103"/>
        <v>0</v>
      </c>
      <c r="Y707" s="263"/>
      <c r="Z707" s="263"/>
      <c r="AB707" s="265" t="str">
        <f t="shared" si="104"/>
        <v/>
      </c>
    </row>
    <row r="708" spans="1:28" s="264" customFormat="1" ht="20.399999999999999">
      <c r="A708" s="207"/>
      <c r="B708" s="208"/>
      <c r="C708" s="212"/>
      <c r="D708" s="270"/>
      <c r="E708" s="208"/>
      <c r="F708" s="208"/>
      <c r="G708" s="208"/>
      <c r="H708" s="209"/>
      <c r="I708" s="210"/>
      <c r="J708" s="210"/>
      <c r="K708" s="260"/>
      <c r="L708" s="260"/>
      <c r="M708" s="260"/>
      <c r="N708" s="260"/>
      <c r="O708" s="260"/>
      <c r="P708" s="211"/>
      <c r="Q708" s="261"/>
      <c r="R708" s="208" t="str">
        <f ca="1">IF(ISERROR($V708),"",OFFSET('Smelter Look-up'!$C$4,$V708-4,0)&amp;"")</f>
        <v/>
      </c>
      <c r="S708" s="215" t="str">
        <f t="shared" ca="1" si="102"/>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si="103"/>
        <v>0</v>
      </c>
      <c r="Y708" s="263"/>
      <c r="Z708" s="263"/>
      <c r="AB708" s="265" t="str">
        <f t="shared" si="104"/>
        <v/>
      </c>
    </row>
    <row r="709" spans="1:28" s="264" customFormat="1" ht="20.399999999999999">
      <c r="A709" s="207"/>
      <c r="B709" s="208"/>
      <c r="C709" s="212"/>
      <c r="D709" s="270"/>
      <c r="E709" s="208"/>
      <c r="F709" s="208"/>
      <c r="G709" s="208"/>
      <c r="H709" s="209"/>
      <c r="I709" s="210"/>
      <c r="J709" s="210"/>
      <c r="K709" s="260"/>
      <c r="L709" s="260"/>
      <c r="M709" s="260"/>
      <c r="N709" s="260"/>
      <c r="O709" s="260"/>
      <c r="P709" s="211"/>
      <c r="Q709" s="261"/>
      <c r="R709" s="208" t="str">
        <f ca="1">IF(ISERROR($V709),"",OFFSET('Smelter Look-up'!$C$4,$V709-4,0)&amp;"")</f>
        <v/>
      </c>
      <c r="S709" s="215" t="str">
        <f t="shared" ca="1" si="102"/>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si="103"/>
        <v>0</v>
      </c>
      <c r="Y709" s="263"/>
      <c r="Z709" s="263"/>
      <c r="AB709" s="265" t="str">
        <f t="shared" si="104"/>
        <v/>
      </c>
    </row>
    <row r="710" spans="1:28" s="264" customFormat="1" ht="20.399999999999999">
      <c r="A710" s="207"/>
      <c r="B710" s="208"/>
      <c r="C710" s="212"/>
      <c r="D710" s="270"/>
      <c r="E710" s="208"/>
      <c r="F710" s="208"/>
      <c r="G710" s="208"/>
      <c r="H710" s="209"/>
      <c r="I710" s="210"/>
      <c r="J710" s="210"/>
      <c r="K710" s="260"/>
      <c r="L710" s="260"/>
      <c r="M710" s="260"/>
      <c r="N710" s="260"/>
      <c r="O710" s="260"/>
      <c r="P710" s="211"/>
      <c r="Q710" s="261"/>
      <c r="R710" s="208" t="str">
        <f ca="1">IF(ISERROR($V710),"",OFFSET('Smelter Look-up'!$C$4,$V710-4,0)&amp;"")</f>
        <v/>
      </c>
      <c r="S710" s="215" t="str">
        <f t="shared" ca="1" si="102"/>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si="103"/>
        <v>0</v>
      </c>
      <c r="Y710" s="263"/>
      <c r="Z710" s="263"/>
      <c r="AB710" s="265" t="str">
        <f t="shared" si="104"/>
        <v/>
      </c>
    </row>
    <row r="711" spans="1:28" s="264" customFormat="1" ht="20.399999999999999">
      <c r="A711" s="207"/>
      <c r="B711" s="208"/>
      <c r="C711" s="212"/>
      <c r="D711" s="270"/>
      <c r="E711" s="208"/>
      <c r="F711" s="208"/>
      <c r="G711" s="208"/>
      <c r="H711" s="209"/>
      <c r="I711" s="210"/>
      <c r="J711" s="210"/>
      <c r="K711" s="260"/>
      <c r="L711" s="260"/>
      <c r="M711" s="260"/>
      <c r="N711" s="260"/>
      <c r="O711" s="260"/>
      <c r="P711" s="211"/>
      <c r="Q711" s="261"/>
      <c r="R711" s="208" t="str">
        <f ca="1">IF(ISERROR($V711),"",OFFSET('Smelter Look-up'!$C$4,$V711-4,0)&amp;"")</f>
        <v/>
      </c>
      <c r="S711" s="215" t="str">
        <f t="shared" ca="1" si="102"/>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si="103"/>
        <v>0</v>
      </c>
      <c r="Y711" s="263"/>
      <c r="Z711" s="263"/>
      <c r="AB711" s="265" t="str">
        <f t="shared" si="104"/>
        <v/>
      </c>
    </row>
    <row r="712" spans="1:28" s="264" customFormat="1" ht="20.399999999999999">
      <c r="A712" s="207"/>
      <c r="B712" s="208"/>
      <c r="C712" s="212"/>
      <c r="D712" s="270"/>
      <c r="E712" s="208"/>
      <c r="F712" s="208"/>
      <c r="G712" s="208"/>
      <c r="H712" s="209"/>
      <c r="I712" s="210"/>
      <c r="J712" s="210"/>
      <c r="K712" s="260"/>
      <c r="L712" s="260"/>
      <c r="M712" s="260"/>
      <c r="N712" s="260"/>
      <c r="O712" s="260"/>
      <c r="P712" s="211"/>
      <c r="Q712" s="261"/>
      <c r="R712" s="208" t="str">
        <f ca="1">IF(ISERROR($V712),"",OFFSET('Smelter Look-up'!$C$4,$V712-4,0)&amp;"")</f>
        <v/>
      </c>
      <c r="S712" s="215" t="str">
        <f t="shared" ca="1" si="102"/>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si="103"/>
        <v>0</v>
      </c>
      <c r="Y712" s="263"/>
      <c r="Z712" s="263"/>
      <c r="AB712" s="265" t="str">
        <f t="shared" si="104"/>
        <v/>
      </c>
    </row>
    <row r="713" spans="1:28" s="264" customFormat="1" ht="20.399999999999999">
      <c r="A713" s="207"/>
      <c r="B713" s="208"/>
      <c r="C713" s="212"/>
      <c r="D713" s="270"/>
      <c r="E713" s="208"/>
      <c r="F713" s="208"/>
      <c r="G713" s="208"/>
      <c r="H713" s="209"/>
      <c r="I713" s="210"/>
      <c r="J713" s="210"/>
      <c r="K713" s="260"/>
      <c r="L713" s="260"/>
      <c r="M713" s="260"/>
      <c r="N713" s="260"/>
      <c r="O713" s="260"/>
      <c r="P713" s="211"/>
      <c r="Q713" s="261"/>
      <c r="R713" s="208" t="str">
        <f ca="1">IF(ISERROR($V713),"",OFFSET('Smelter Look-up'!$C$4,$V713-4,0)&amp;"")</f>
        <v/>
      </c>
      <c r="S713" s="215" t="str">
        <f t="shared" ca="1" si="102"/>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si="103"/>
        <v>0</v>
      </c>
      <c r="Y713" s="263"/>
      <c r="Z713" s="263"/>
      <c r="AB713" s="265" t="str">
        <f t="shared" si="104"/>
        <v/>
      </c>
    </row>
    <row r="714" spans="1:28" s="264" customFormat="1" ht="20.399999999999999">
      <c r="A714" s="207"/>
      <c r="B714" s="208"/>
      <c r="C714" s="212"/>
      <c r="D714" s="270"/>
      <c r="E714" s="208"/>
      <c r="F714" s="208"/>
      <c r="G714" s="208"/>
      <c r="H714" s="209"/>
      <c r="I714" s="210"/>
      <c r="J714" s="210"/>
      <c r="K714" s="260"/>
      <c r="L714" s="260"/>
      <c r="M714" s="260"/>
      <c r="N714" s="260"/>
      <c r="O714" s="260"/>
      <c r="P714" s="211"/>
      <c r="Q714" s="261"/>
      <c r="R714" s="208" t="str">
        <f ca="1">IF(ISERROR($V714),"",OFFSET('Smelter Look-up'!$C$4,$V714-4,0)&amp;"")</f>
        <v/>
      </c>
      <c r="S714" s="215" t="str">
        <f t="shared" ca="1" si="102"/>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si="103"/>
        <v>0</v>
      </c>
      <c r="Y714" s="263"/>
      <c r="Z714" s="263"/>
      <c r="AB714" s="265" t="str">
        <f t="shared" si="104"/>
        <v/>
      </c>
    </row>
    <row r="715" spans="1:28" s="264" customFormat="1" ht="20.399999999999999">
      <c r="A715" s="207"/>
      <c r="B715" s="208"/>
      <c r="C715" s="212"/>
      <c r="D715" s="270"/>
      <c r="E715" s="208"/>
      <c r="F715" s="208"/>
      <c r="G715" s="208"/>
      <c r="H715" s="209"/>
      <c r="I715" s="210"/>
      <c r="J715" s="210"/>
      <c r="K715" s="260"/>
      <c r="L715" s="260"/>
      <c r="M715" s="260"/>
      <c r="N715" s="260"/>
      <c r="O715" s="260"/>
      <c r="P715" s="211"/>
      <c r="Q715" s="261"/>
      <c r="R715" s="208" t="str">
        <f ca="1">IF(ISERROR($V715),"",OFFSET('Smelter Look-up'!$C$4,$V715-4,0)&amp;"")</f>
        <v/>
      </c>
      <c r="S715" s="215" t="str">
        <f t="shared" ca="1" si="102"/>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si="103"/>
        <v>0</v>
      </c>
      <c r="Y715" s="263"/>
      <c r="Z715" s="263"/>
      <c r="AB715" s="265" t="str">
        <f t="shared" si="104"/>
        <v/>
      </c>
    </row>
    <row r="716" spans="1:28" s="264" customFormat="1" ht="20.399999999999999">
      <c r="A716" s="207"/>
      <c r="B716" s="208"/>
      <c r="C716" s="212"/>
      <c r="D716" s="270"/>
      <c r="E716" s="208"/>
      <c r="F716" s="208"/>
      <c r="G716" s="208"/>
      <c r="H716" s="209"/>
      <c r="I716" s="210"/>
      <c r="J716" s="210"/>
      <c r="K716" s="260"/>
      <c r="L716" s="260"/>
      <c r="M716" s="260"/>
      <c r="N716" s="260"/>
      <c r="O716" s="260"/>
      <c r="P716" s="211"/>
      <c r="Q716" s="261"/>
      <c r="R716" s="208" t="str">
        <f ca="1">IF(ISERROR($V716),"",OFFSET('Smelter Look-up'!$C$4,$V716-4,0)&amp;"")</f>
        <v/>
      </c>
      <c r="S716" s="215" t="str">
        <f t="shared" ca="1" si="102"/>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si="103"/>
        <v>0</v>
      </c>
      <c r="Y716" s="263"/>
      <c r="Z716" s="263"/>
      <c r="AB716" s="265" t="str">
        <f t="shared" si="104"/>
        <v/>
      </c>
    </row>
    <row r="717" spans="1:28" s="264" customFormat="1" ht="20.399999999999999">
      <c r="A717" s="207"/>
      <c r="B717" s="208"/>
      <c r="C717" s="212"/>
      <c r="D717" s="270"/>
      <c r="E717" s="208"/>
      <c r="F717" s="208"/>
      <c r="G717" s="208"/>
      <c r="H717" s="209"/>
      <c r="I717" s="210"/>
      <c r="J717" s="210"/>
      <c r="K717" s="260"/>
      <c r="L717" s="260"/>
      <c r="M717" s="260"/>
      <c r="N717" s="260"/>
      <c r="O717" s="260"/>
      <c r="P717" s="211"/>
      <c r="Q717" s="261"/>
      <c r="R717" s="208" t="str">
        <f ca="1">IF(ISERROR($V717),"",OFFSET('Smelter Look-up'!$C$4,$V717-4,0)&amp;"")</f>
        <v/>
      </c>
      <c r="S717" s="215" t="str">
        <f t="shared" ca="1" si="102"/>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si="103"/>
        <v>0</v>
      </c>
      <c r="Y717" s="263"/>
      <c r="Z717" s="263"/>
      <c r="AB717" s="265" t="str">
        <f t="shared" si="104"/>
        <v/>
      </c>
    </row>
    <row r="718" spans="1:28" s="264" customFormat="1" ht="20.399999999999999">
      <c r="A718" s="207"/>
      <c r="B718" s="208"/>
      <c r="C718" s="212"/>
      <c r="D718" s="270"/>
      <c r="E718" s="208"/>
      <c r="F718" s="208"/>
      <c r="G718" s="208"/>
      <c r="H718" s="209"/>
      <c r="I718" s="210"/>
      <c r="J718" s="210"/>
      <c r="K718" s="260"/>
      <c r="L718" s="260"/>
      <c r="M718" s="260"/>
      <c r="N718" s="260"/>
      <c r="O718" s="260"/>
      <c r="P718" s="211"/>
      <c r="Q718" s="261"/>
      <c r="R718" s="208" t="str">
        <f ca="1">IF(ISERROR($V718),"",OFFSET('Smelter Look-up'!$C$4,$V718-4,0)&amp;"")</f>
        <v/>
      </c>
      <c r="S718" s="215" t="str">
        <f t="shared" ca="1" si="102"/>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si="103"/>
        <v>0</v>
      </c>
      <c r="Y718" s="263"/>
      <c r="Z718" s="263"/>
      <c r="AB718" s="265" t="str">
        <f t="shared" si="104"/>
        <v/>
      </c>
    </row>
    <row r="719" spans="1:28" s="264" customFormat="1" ht="20.399999999999999">
      <c r="A719" s="207"/>
      <c r="B719" s="208"/>
      <c r="C719" s="212"/>
      <c r="D719" s="270"/>
      <c r="E719" s="208"/>
      <c r="F719" s="208"/>
      <c r="G719" s="208"/>
      <c r="H719" s="209"/>
      <c r="I719" s="210"/>
      <c r="J719" s="210"/>
      <c r="K719" s="260"/>
      <c r="L719" s="260"/>
      <c r="M719" s="260"/>
      <c r="N719" s="260"/>
      <c r="O719" s="260"/>
      <c r="P719" s="211"/>
      <c r="Q719" s="261"/>
      <c r="R719" s="208" t="str">
        <f ca="1">IF(ISERROR($V719),"",OFFSET('Smelter Look-up'!$C$4,$V719-4,0)&amp;"")</f>
        <v/>
      </c>
      <c r="S719" s="215" t="str">
        <f t="shared" ca="1" si="102"/>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si="103"/>
        <v>0</v>
      </c>
      <c r="Y719" s="263"/>
      <c r="Z719" s="263"/>
      <c r="AB719" s="265" t="str">
        <f t="shared" si="104"/>
        <v/>
      </c>
    </row>
    <row r="720" spans="1:28" s="264" customFormat="1" ht="20.399999999999999">
      <c r="A720" s="207"/>
      <c r="B720" s="208"/>
      <c r="C720" s="212"/>
      <c r="D720" s="270"/>
      <c r="E720" s="208"/>
      <c r="F720" s="208"/>
      <c r="G720" s="208"/>
      <c r="H720" s="209"/>
      <c r="I720" s="210"/>
      <c r="J720" s="210"/>
      <c r="K720" s="260"/>
      <c r="L720" s="260"/>
      <c r="M720" s="260"/>
      <c r="N720" s="260"/>
      <c r="O720" s="260"/>
      <c r="P720" s="211"/>
      <c r="Q720" s="261"/>
      <c r="R720" s="208" t="str">
        <f ca="1">IF(ISERROR($V720),"",OFFSET('Smelter Look-up'!$C$4,$V720-4,0)&amp;"")</f>
        <v/>
      </c>
      <c r="S720" s="215" t="str">
        <f t="shared" ca="1" si="102"/>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si="103"/>
        <v>0</v>
      </c>
      <c r="Y720" s="263"/>
      <c r="Z720" s="263"/>
      <c r="AB720" s="265" t="str">
        <f t="shared" si="104"/>
        <v/>
      </c>
    </row>
    <row r="721" spans="1:28" s="264" customFormat="1" ht="20.399999999999999">
      <c r="A721" s="207"/>
      <c r="B721" s="208"/>
      <c r="C721" s="212"/>
      <c r="D721" s="270"/>
      <c r="E721" s="208"/>
      <c r="F721" s="208"/>
      <c r="G721" s="208"/>
      <c r="H721" s="209"/>
      <c r="I721" s="210"/>
      <c r="J721" s="210"/>
      <c r="K721" s="260"/>
      <c r="L721" s="260"/>
      <c r="M721" s="260"/>
      <c r="N721" s="260"/>
      <c r="O721" s="260"/>
      <c r="P721" s="211"/>
      <c r="Q721" s="261"/>
      <c r="R721" s="208" t="str">
        <f ca="1">IF(ISERROR($V721),"",OFFSET('Smelter Look-up'!$C$4,$V721-4,0)&amp;"")</f>
        <v/>
      </c>
      <c r="S721" s="215" t="str">
        <f t="shared" ca="1" si="102"/>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si="103"/>
        <v>0</v>
      </c>
      <c r="Y721" s="263"/>
      <c r="Z721" s="263"/>
      <c r="AB721" s="265" t="str">
        <f t="shared" si="104"/>
        <v/>
      </c>
    </row>
    <row r="722" spans="1:28" s="264" customFormat="1" ht="20.399999999999999">
      <c r="A722" s="207"/>
      <c r="B722" s="208"/>
      <c r="C722" s="212"/>
      <c r="D722" s="270"/>
      <c r="E722" s="208"/>
      <c r="F722" s="208"/>
      <c r="G722" s="208"/>
      <c r="H722" s="209"/>
      <c r="I722" s="210"/>
      <c r="J722" s="210"/>
      <c r="K722" s="260"/>
      <c r="L722" s="260"/>
      <c r="M722" s="260"/>
      <c r="N722" s="260"/>
      <c r="O722" s="260"/>
      <c r="P722" s="211"/>
      <c r="Q722" s="261"/>
      <c r="R722" s="208" t="str">
        <f ca="1">IF(ISERROR($V722),"",OFFSET('Smelter Look-up'!$C$4,$V722-4,0)&amp;"")</f>
        <v/>
      </c>
      <c r="S722" s="215" t="str">
        <f t="shared" ca="1" si="102"/>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si="103"/>
        <v>0</v>
      </c>
      <c r="Y722" s="263"/>
      <c r="Z722" s="263"/>
      <c r="AB722" s="265" t="str">
        <f t="shared" si="104"/>
        <v/>
      </c>
    </row>
    <row r="723" spans="1:28" s="264" customFormat="1" ht="20.399999999999999">
      <c r="A723" s="207"/>
      <c r="B723" s="208"/>
      <c r="C723" s="212"/>
      <c r="D723" s="270"/>
      <c r="E723" s="208"/>
      <c r="F723" s="208"/>
      <c r="G723" s="208"/>
      <c r="H723" s="209"/>
      <c r="I723" s="210"/>
      <c r="J723" s="210"/>
      <c r="K723" s="260"/>
      <c r="L723" s="260"/>
      <c r="M723" s="260"/>
      <c r="N723" s="260"/>
      <c r="O723" s="260"/>
      <c r="P723" s="211"/>
      <c r="Q723" s="261"/>
      <c r="R723" s="208" t="str">
        <f ca="1">IF(ISERROR($V723),"",OFFSET('Smelter Look-up'!$C$4,$V723-4,0)&amp;"")</f>
        <v/>
      </c>
      <c r="S723" s="215" t="str">
        <f t="shared" ca="1" si="102"/>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si="103"/>
        <v>0</v>
      </c>
      <c r="Y723" s="263"/>
      <c r="Z723" s="263"/>
      <c r="AB723" s="265" t="str">
        <f t="shared" si="104"/>
        <v/>
      </c>
    </row>
    <row r="724" spans="1:28" s="264" customFormat="1" ht="20.399999999999999">
      <c r="A724" s="207"/>
      <c r="B724" s="208"/>
      <c r="C724" s="212"/>
      <c r="D724" s="270"/>
      <c r="E724" s="208"/>
      <c r="F724" s="208"/>
      <c r="G724" s="208"/>
      <c r="H724" s="209"/>
      <c r="I724" s="210"/>
      <c r="J724" s="210"/>
      <c r="K724" s="260"/>
      <c r="L724" s="260"/>
      <c r="M724" s="260"/>
      <c r="N724" s="260"/>
      <c r="O724" s="260"/>
      <c r="P724" s="211"/>
      <c r="Q724" s="261"/>
      <c r="R724" s="208" t="str">
        <f ca="1">IF(ISERROR($V724),"",OFFSET('Smelter Look-up'!$C$4,$V724-4,0)&amp;"")</f>
        <v/>
      </c>
      <c r="S724" s="215" t="str">
        <f t="shared" ca="1" si="102"/>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si="103"/>
        <v>0</v>
      </c>
      <c r="Y724" s="263"/>
      <c r="Z724" s="263"/>
      <c r="AB724" s="265" t="str">
        <f t="shared" si="104"/>
        <v/>
      </c>
    </row>
    <row r="725" spans="1:28" s="264" customFormat="1" ht="20.399999999999999">
      <c r="A725" s="207"/>
      <c r="B725" s="208"/>
      <c r="C725" s="212"/>
      <c r="D725" s="270"/>
      <c r="E725" s="208"/>
      <c r="F725" s="208"/>
      <c r="G725" s="208"/>
      <c r="H725" s="209"/>
      <c r="I725" s="210"/>
      <c r="J725" s="210"/>
      <c r="K725" s="260"/>
      <c r="L725" s="260"/>
      <c r="M725" s="260"/>
      <c r="N725" s="260"/>
      <c r="O725" s="260"/>
      <c r="P725" s="211"/>
      <c r="Q725" s="261"/>
      <c r="R725" s="208" t="str">
        <f ca="1">IF(ISERROR($V725),"",OFFSET('Smelter Look-up'!$C$4,$V725-4,0)&amp;"")</f>
        <v/>
      </c>
      <c r="S725" s="215" t="str">
        <f t="shared" ca="1" si="102"/>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si="103"/>
        <v>0</v>
      </c>
      <c r="Y725" s="263"/>
      <c r="Z725" s="263"/>
      <c r="AB725" s="265" t="str">
        <f t="shared" si="104"/>
        <v/>
      </c>
    </row>
    <row r="726" spans="1:28" s="264" customFormat="1" ht="20.399999999999999">
      <c r="A726" s="207"/>
      <c r="B726" s="208"/>
      <c r="C726" s="212"/>
      <c r="D726" s="270"/>
      <c r="E726" s="208"/>
      <c r="F726" s="208"/>
      <c r="G726" s="208"/>
      <c r="H726" s="209"/>
      <c r="I726" s="210"/>
      <c r="J726" s="210"/>
      <c r="K726" s="260"/>
      <c r="L726" s="260"/>
      <c r="M726" s="260"/>
      <c r="N726" s="260"/>
      <c r="O726" s="260"/>
      <c r="P726" s="211"/>
      <c r="Q726" s="261"/>
      <c r="R726" s="208" t="str">
        <f ca="1">IF(ISERROR($V726),"",OFFSET('Smelter Look-up'!$C$4,$V726-4,0)&amp;"")</f>
        <v/>
      </c>
      <c r="S726" s="215" t="str">
        <f t="shared" ca="1" si="102"/>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si="103"/>
        <v>0</v>
      </c>
      <c r="Y726" s="263"/>
      <c r="Z726" s="263"/>
      <c r="AB726" s="265" t="str">
        <f t="shared" si="104"/>
        <v/>
      </c>
    </row>
    <row r="727" spans="1:28" s="264" customFormat="1" ht="20.399999999999999">
      <c r="A727" s="207"/>
      <c r="B727" s="208"/>
      <c r="C727" s="212"/>
      <c r="D727" s="270"/>
      <c r="E727" s="208"/>
      <c r="F727" s="208"/>
      <c r="G727" s="208"/>
      <c r="H727" s="209"/>
      <c r="I727" s="210"/>
      <c r="J727" s="210"/>
      <c r="K727" s="260"/>
      <c r="L727" s="260"/>
      <c r="M727" s="260"/>
      <c r="N727" s="260"/>
      <c r="O727" s="260"/>
      <c r="P727" s="211"/>
      <c r="Q727" s="261"/>
      <c r="R727" s="208" t="str">
        <f ca="1">IF(ISERROR($V727),"",OFFSET('Smelter Look-up'!$C$4,$V727-4,0)&amp;"")</f>
        <v/>
      </c>
      <c r="S727" s="215" t="str">
        <f t="shared" ca="1" si="102"/>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si="103"/>
        <v>0</v>
      </c>
      <c r="Y727" s="263"/>
      <c r="Z727" s="263"/>
      <c r="AB727" s="265" t="str">
        <f t="shared" si="104"/>
        <v/>
      </c>
    </row>
    <row r="728" spans="1:28" s="264" customFormat="1" ht="20.399999999999999">
      <c r="A728" s="207"/>
      <c r="B728" s="208"/>
      <c r="C728" s="212"/>
      <c r="D728" s="270"/>
      <c r="E728" s="208"/>
      <c r="F728" s="208"/>
      <c r="G728" s="208"/>
      <c r="H728" s="209"/>
      <c r="I728" s="210"/>
      <c r="J728" s="210"/>
      <c r="K728" s="260"/>
      <c r="L728" s="260"/>
      <c r="M728" s="260"/>
      <c r="N728" s="260"/>
      <c r="O728" s="260"/>
      <c r="P728" s="211"/>
      <c r="Q728" s="261"/>
      <c r="R728" s="208" t="str">
        <f ca="1">IF(ISERROR($V728),"",OFFSET('Smelter Look-up'!$C$4,$V728-4,0)&amp;"")</f>
        <v/>
      </c>
      <c r="S728" s="215" t="str">
        <f t="shared" ca="1" si="102"/>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si="103"/>
        <v>0</v>
      </c>
      <c r="Y728" s="263"/>
      <c r="Z728" s="263"/>
      <c r="AB728" s="265" t="str">
        <f t="shared" si="104"/>
        <v/>
      </c>
    </row>
    <row r="729" spans="1:28" s="264" customFormat="1" ht="20.399999999999999">
      <c r="A729" s="207"/>
      <c r="B729" s="208"/>
      <c r="C729" s="212"/>
      <c r="D729" s="270"/>
      <c r="E729" s="208"/>
      <c r="F729" s="208"/>
      <c r="G729" s="208"/>
      <c r="H729" s="209"/>
      <c r="I729" s="210"/>
      <c r="J729" s="210"/>
      <c r="K729" s="260"/>
      <c r="L729" s="260"/>
      <c r="M729" s="260"/>
      <c r="N729" s="260"/>
      <c r="O729" s="260"/>
      <c r="P729" s="211"/>
      <c r="Q729" s="261"/>
      <c r="R729" s="208" t="str">
        <f ca="1">IF(ISERROR($V729),"",OFFSET('Smelter Look-up'!$C$4,$V729-4,0)&amp;"")</f>
        <v/>
      </c>
      <c r="S729" s="215" t="str">
        <f t="shared" ca="1" si="102"/>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si="103"/>
        <v>0</v>
      </c>
      <c r="Y729" s="263"/>
      <c r="Z729" s="263"/>
      <c r="AB729" s="265" t="str">
        <f t="shared" si="104"/>
        <v/>
      </c>
    </row>
    <row r="730" spans="1:28" s="264" customFormat="1" ht="20.399999999999999">
      <c r="A730" s="207"/>
      <c r="B730" s="208"/>
      <c r="C730" s="212"/>
      <c r="D730" s="270"/>
      <c r="E730" s="208"/>
      <c r="F730" s="208"/>
      <c r="G730" s="208"/>
      <c r="H730" s="209"/>
      <c r="I730" s="210"/>
      <c r="J730" s="210"/>
      <c r="K730" s="260"/>
      <c r="L730" s="260"/>
      <c r="M730" s="260"/>
      <c r="N730" s="260"/>
      <c r="O730" s="260"/>
      <c r="P730" s="211"/>
      <c r="Q730" s="261"/>
      <c r="R730" s="208" t="str">
        <f ca="1">IF(ISERROR($V730),"",OFFSET('Smelter Look-up'!$C$4,$V730-4,0)&amp;"")</f>
        <v/>
      </c>
      <c r="S730" s="215" t="str">
        <f t="shared" ca="1" si="102"/>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si="103"/>
        <v>0</v>
      </c>
      <c r="Y730" s="263"/>
      <c r="Z730" s="263"/>
      <c r="AB730" s="265" t="str">
        <f t="shared" si="104"/>
        <v/>
      </c>
    </row>
    <row r="731" spans="1:28" s="264" customFormat="1" ht="20.399999999999999">
      <c r="A731" s="207"/>
      <c r="B731" s="208"/>
      <c r="C731" s="212"/>
      <c r="D731" s="270"/>
      <c r="E731" s="208"/>
      <c r="F731" s="208"/>
      <c r="G731" s="208"/>
      <c r="H731" s="209"/>
      <c r="I731" s="210"/>
      <c r="J731" s="210"/>
      <c r="K731" s="260"/>
      <c r="L731" s="260"/>
      <c r="M731" s="260"/>
      <c r="N731" s="260"/>
      <c r="O731" s="260"/>
      <c r="P731" s="211"/>
      <c r="Q731" s="261"/>
      <c r="R731" s="208" t="str">
        <f ca="1">IF(ISERROR($V731),"",OFFSET('Smelter Look-up'!$C$4,$V731-4,0)&amp;"")</f>
        <v/>
      </c>
      <c r="S731" s="215" t="str">
        <f t="shared" ca="1" si="102"/>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si="103"/>
        <v>0</v>
      </c>
      <c r="Y731" s="263"/>
      <c r="Z731" s="263"/>
      <c r="AB731" s="265" t="str">
        <f t="shared" si="104"/>
        <v/>
      </c>
    </row>
    <row r="732" spans="1:28" s="264" customFormat="1" ht="20.399999999999999">
      <c r="A732" s="207"/>
      <c r="B732" s="208"/>
      <c r="C732" s="212"/>
      <c r="D732" s="270"/>
      <c r="E732" s="208"/>
      <c r="F732" s="208"/>
      <c r="G732" s="208"/>
      <c r="H732" s="209"/>
      <c r="I732" s="210"/>
      <c r="J732" s="210"/>
      <c r="K732" s="260"/>
      <c r="L732" s="260"/>
      <c r="M732" s="260"/>
      <c r="N732" s="260"/>
      <c r="O732" s="260"/>
      <c r="P732" s="211"/>
      <c r="Q732" s="261"/>
      <c r="R732" s="208" t="str">
        <f ca="1">IF(ISERROR($V732),"",OFFSET('Smelter Look-up'!$C$4,$V732-4,0)&amp;"")</f>
        <v/>
      </c>
      <c r="S732" s="215" t="str">
        <f t="shared" ref="S732:S762" ca="1" si="105">IF(B732="","",IF(ISERROR(MATCH($E732,CL,0)),"Unknown",INDIRECT("'C'!$A$"&amp;MATCH($E732,CL,0)+1)))</f>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ref="X732:X762" si="106">IF(AND(C732="Smelter not listed",OR(LEN(D732)=0,LEN(E732)=0)),1,0)</f>
        <v>0</v>
      </c>
      <c r="Y732" s="263"/>
      <c r="Z732" s="263"/>
      <c r="AB732" s="265" t="str">
        <f t="shared" ref="AB732:AB762" si="107">B732&amp;C732</f>
        <v/>
      </c>
    </row>
    <row r="733" spans="1:28" s="264" customFormat="1" ht="20.399999999999999">
      <c r="A733" s="207"/>
      <c r="B733" s="208"/>
      <c r="C733" s="212"/>
      <c r="D733" s="270"/>
      <c r="E733" s="208"/>
      <c r="F733" s="208"/>
      <c r="G733" s="208"/>
      <c r="H733" s="209"/>
      <c r="I733" s="210"/>
      <c r="J733" s="210"/>
      <c r="K733" s="260"/>
      <c r="L733" s="260"/>
      <c r="M733" s="260"/>
      <c r="N733" s="260"/>
      <c r="O733" s="260"/>
      <c r="P733" s="211"/>
      <c r="Q733" s="261"/>
      <c r="R733" s="208" t="str">
        <f ca="1">IF(ISERROR($V733),"",OFFSET('Smelter Look-up'!$C$4,$V733-4,0)&amp;"")</f>
        <v/>
      </c>
      <c r="S733" s="215" t="str">
        <f t="shared" ca="1" si="105"/>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si="106"/>
        <v>0</v>
      </c>
      <c r="Y733" s="263"/>
      <c r="Z733" s="263"/>
      <c r="AB733" s="265" t="str">
        <f t="shared" si="107"/>
        <v/>
      </c>
    </row>
    <row r="734" spans="1:28" s="264" customFormat="1" ht="20.399999999999999">
      <c r="A734" s="207"/>
      <c r="B734" s="208"/>
      <c r="C734" s="212"/>
      <c r="D734" s="270"/>
      <c r="E734" s="208"/>
      <c r="F734" s="208"/>
      <c r="G734" s="208"/>
      <c r="H734" s="209"/>
      <c r="I734" s="210"/>
      <c r="J734" s="210"/>
      <c r="K734" s="260"/>
      <c r="L734" s="260"/>
      <c r="M734" s="260"/>
      <c r="N734" s="260"/>
      <c r="O734" s="260"/>
      <c r="P734" s="211"/>
      <c r="Q734" s="261"/>
      <c r="R734" s="208" t="str">
        <f ca="1">IF(ISERROR($V734),"",OFFSET('Smelter Look-up'!$C$4,$V734-4,0)&amp;"")</f>
        <v/>
      </c>
      <c r="S734" s="215" t="str">
        <f t="shared" ca="1" si="105"/>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si="106"/>
        <v>0</v>
      </c>
      <c r="Y734" s="263"/>
      <c r="Z734" s="263"/>
      <c r="AB734" s="265" t="str">
        <f t="shared" si="107"/>
        <v/>
      </c>
    </row>
    <row r="735" spans="1:28" s="264" customFormat="1" ht="20.399999999999999">
      <c r="A735" s="207"/>
      <c r="B735" s="208"/>
      <c r="C735" s="212"/>
      <c r="D735" s="270"/>
      <c r="E735" s="208"/>
      <c r="F735" s="208"/>
      <c r="G735" s="208"/>
      <c r="H735" s="209"/>
      <c r="I735" s="210"/>
      <c r="J735" s="210"/>
      <c r="K735" s="260"/>
      <c r="L735" s="260"/>
      <c r="M735" s="260"/>
      <c r="N735" s="260"/>
      <c r="O735" s="260"/>
      <c r="P735" s="211"/>
      <c r="Q735" s="261"/>
      <c r="R735" s="208" t="str">
        <f ca="1">IF(ISERROR($V735),"",OFFSET('Smelter Look-up'!$C$4,$V735-4,0)&amp;"")</f>
        <v/>
      </c>
      <c r="S735" s="215" t="str">
        <f t="shared" ca="1" si="105"/>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si="106"/>
        <v>0</v>
      </c>
      <c r="Y735" s="263"/>
      <c r="Z735" s="263"/>
      <c r="AB735" s="265" t="str">
        <f t="shared" si="107"/>
        <v/>
      </c>
    </row>
    <row r="736" spans="1:28" s="264" customFormat="1" ht="20.399999999999999">
      <c r="A736" s="207"/>
      <c r="B736" s="208"/>
      <c r="C736" s="212"/>
      <c r="D736" s="270"/>
      <c r="E736" s="208"/>
      <c r="F736" s="208"/>
      <c r="G736" s="208"/>
      <c r="H736" s="209"/>
      <c r="I736" s="210"/>
      <c r="J736" s="210"/>
      <c r="K736" s="260"/>
      <c r="L736" s="260"/>
      <c r="M736" s="260"/>
      <c r="N736" s="260"/>
      <c r="O736" s="260"/>
      <c r="P736" s="211"/>
      <c r="Q736" s="261"/>
      <c r="R736" s="208" t="str">
        <f ca="1">IF(ISERROR($V736),"",OFFSET('Smelter Look-up'!$C$4,$V736-4,0)&amp;"")</f>
        <v/>
      </c>
      <c r="S736" s="215" t="str">
        <f t="shared" ca="1" si="105"/>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si="106"/>
        <v>0</v>
      </c>
      <c r="Y736" s="263"/>
      <c r="Z736" s="263"/>
      <c r="AB736" s="265" t="str">
        <f t="shared" si="107"/>
        <v/>
      </c>
    </row>
    <row r="737" spans="1:28" s="264" customFormat="1" ht="20.399999999999999">
      <c r="A737" s="207"/>
      <c r="B737" s="208"/>
      <c r="C737" s="212"/>
      <c r="D737" s="270"/>
      <c r="E737" s="208"/>
      <c r="F737" s="208"/>
      <c r="G737" s="208"/>
      <c r="H737" s="209"/>
      <c r="I737" s="210"/>
      <c r="J737" s="210"/>
      <c r="K737" s="260"/>
      <c r="L737" s="260"/>
      <c r="M737" s="260"/>
      <c r="N737" s="260"/>
      <c r="O737" s="260"/>
      <c r="P737" s="211"/>
      <c r="Q737" s="261"/>
      <c r="R737" s="208" t="str">
        <f ca="1">IF(ISERROR($V737),"",OFFSET('Smelter Look-up'!$C$4,$V737-4,0)&amp;"")</f>
        <v/>
      </c>
      <c r="S737" s="215" t="str">
        <f t="shared" ca="1" si="105"/>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si="106"/>
        <v>0</v>
      </c>
      <c r="Y737" s="263"/>
      <c r="Z737" s="263"/>
      <c r="AB737" s="265" t="str">
        <f t="shared" si="107"/>
        <v/>
      </c>
    </row>
    <row r="738" spans="1:28" s="264" customFormat="1" ht="20.399999999999999">
      <c r="A738" s="207"/>
      <c r="B738" s="208"/>
      <c r="C738" s="212"/>
      <c r="D738" s="270"/>
      <c r="E738" s="208"/>
      <c r="F738" s="208"/>
      <c r="G738" s="208"/>
      <c r="H738" s="209"/>
      <c r="I738" s="210"/>
      <c r="J738" s="210"/>
      <c r="K738" s="260"/>
      <c r="L738" s="260"/>
      <c r="M738" s="260"/>
      <c r="N738" s="260"/>
      <c r="O738" s="260"/>
      <c r="P738" s="211"/>
      <c r="Q738" s="261"/>
      <c r="R738" s="208" t="str">
        <f ca="1">IF(ISERROR($V738),"",OFFSET('Smelter Look-up'!$C$4,$V738-4,0)&amp;"")</f>
        <v/>
      </c>
      <c r="S738" s="215" t="str">
        <f t="shared" ca="1" si="105"/>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si="106"/>
        <v>0</v>
      </c>
      <c r="Y738" s="263"/>
      <c r="Z738" s="263"/>
      <c r="AB738" s="265" t="str">
        <f t="shared" si="107"/>
        <v/>
      </c>
    </row>
    <row r="739" spans="1:28" s="264" customFormat="1" ht="20.399999999999999">
      <c r="A739" s="207"/>
      <c r="B739" s="208"/>
      <c r="C739" s="212"/>
      <c r="D739" s="270"/>
      <c r="E739" s="208"/>
      <c r="F739" s="208"/>
      <c r="G739" s="208"/>
      <c r="H739" s="209"/>
      <c r="I739" s="210"/>
      <c r="J739" s="210"/>
      <c r="K739" s="260"/>
      <c r="L739" s="260"/>
      <c r="M739" s="260"/>
      <c r="N739" s="260"/>
      <c r="O739" s="260"/>
      <c r="P739" s="211"/>
      <c r="Q739" s="261"/>
      <c r="R739" s="208" t="str">
        <f ca="1">IF(ISERROR($V739),"",OFFSET('Smelter Look-up'!$C$4,$V739-4,0)&amp;"")</f>
        <v/>
      </c>
      <c r="S739" s="215" t="str">
        <f t="shared" ca="1" si="105"/>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si="106"/>
        <v>0</v>
      </c>
      <c r="Y739" s="263"/>
      <c r="Z739" s="263"/>
      <c r="AB739" s="265" t="str">
        <f t="shared" si="107"/>
        <v/>
      </c>
    </row>
    <row r="740" spans="1:28" s="264" customFormat="1" ht="20.399999999999999">
      <c r="A740" s="207"/>
      <c r="B740" s="208"/>
      <c r="C740" s="212"/>
      <c r="D740" s="270"/>
      <c r="E740" s="208"/>
      <c r="F740" s="208"/>
      <c r="G740" s="208"/>
      <c r="H740" s="209"/>
      <c r="I740" s="210"/>
      <c r="J740" s="210"/>
      <c r="K740" s="260"/>
      <c r="L740" s="260"/>
      <c r="M740" s="260"/>
      <c r="N740" s="260"/>
      <c r="O740" s="260"/>
      <c r="P740" s="211"/>
      <c r="Q740" s="261"/>
      <c r="R740" s="208" t="str">
        <f ca="1">IF(ISERROR($V740),"",OFFSET('Smelter Look-up'!$C$4,$V740-4,0)&amp;"")</f>
        <v/>
      </c>
      <c r="S740" s="215" t="str">
        <f t="shared" ca="1" si="105"/>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si="106"/>
        <v>0</v>
      </c>
      <c r="Y740" s="263"/>
      <c r="Z740" s="263"/>
      <c r="AB740" s="265" t="str">
        <f t="shared" si="107"/>
        <v/>
      </c>
    </row>
    <row r="741" spans="1:28" s="264" customFormat="1" ht="20.399999999999999">
      <c r="A741" s="207"/>
      <c r="B741" s="208"/>
      <c r="C741" s="212"/>
      <c r="D741" s="270"/>
      <c r="E741" s="208"/>
      <c r="F741" s="208"/>
      <c r="G741" s="208"/>
      <c r="H741" s="209"/>
      <c r="I741" s="210"/>
      <c r="J741" s="210"/>
      <c r="K741" s="260"/>
      <c r="L741" s="260"/>
      <c r="M741" s="260"/>
      <c r="N741" s="260"/>
      <c r="O741" s="260"/>
      <c r="P741" s="211"/>
      <c r="Q741" s="261"/>
      <c r="R741" s="208" t="str">
        <f ca="1">IF(ISERROR($V741),"",OFFSET('Smelter Look-up'!$C$4,$V741-4,0)&amp;"")</f>
        <v/>
      </c>
      <c r="S741" s="215" t="str">
        <f t="shared" ca="1" si="105"/>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si="106"/>
        <v>0</v>
      </c>
      <c r="Y741" s="263"/>
      <c r="Z741" s="263"/>
      <c r="AB741" s="265" t="str">
        <f t="shared" si="107"/>
        <v/>
      </c>
    </row>
    <row r="742" spans="1:28" s="264" customFormat="1" ht="20.399999999999999">
      <c r="A742" s="207"/>
      <c r="B742" s="208"/>
      <c r="C742" s="212"/>
      <c r="D742" s="270"/>
      <c r="E742" s="208"/>
      <c r="F742" s="208"/>
      <c r="G742" s="208"/>
      <c r="H742" s="209"/>
      <c r="I742" s="210"/>
      <c r="J742" s="210"/>
      <c r="K742" s="260"/>
      <c r="L742" s="260"/>
      <c r="M742" s="260"/>
      <c r="N742" s="260"/>
      <c r="O742" s="260"/>
      <c r="P742" s="211"/>
      <c r="Q742" s="261"/>
      <c r="R742" s="208" t="str">
        <f ca="1">IF(ISERROR($V742),"",OFFSET('Smelter Look-up'!$C$4,$V742-4,0)&amp;"")</f>
        <v/>
      </c>
      <c r="S742" s="215" t="str">
        <f t="shared" ca="1" si="105"/>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si="106"/>
        <v>0</v>
      </c>
      <c r="Y742" s="263"/>
      <c r="Z742" s="263"/>
      <c r="AB742" s="265" t="str">
        <f t="shared" si="107"/>
        <v/>
      </c>
    </row>
    <row r="743" spans="1:28" s="264" customFormat="1" ht="20.399999999999999">
      <c r="A743" s="207"/>
      <c r="B743" s="208"/>
      <c r="C743" s="212"/>
      <c r="D743" s="270"/>
      <c r="E743" s="208"/>
      <c r="F743" s="208"/>
      <c r="G743" s="208"/>
      <c r="H743" s="209"/>
      <c r="I743" s="210"/>
      <c r="J743" s="210"/>
      <c r="K743" s="260"/>
      <c r="L743" s="260"/>
      <c r="M743" s="260"/>
      <c r="N743" s="260"/>
      <c r="O743" s="260"/>
      <c r="P743" s="211"/>
      <c r="Q743" s="261"/>
      <c r="R743" s="208" t="str">
        <f ca="1">IF(ISERROR($V743),"",OFFSET('Smelter Look-up'!$C$4,$V743-4,0)&amp;"")</f>
        <v/>
      </c>
      <c r="S743" s="215" t="str">
        <f t="shared" ca="1" si="105"/>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si="106"/>
        <v>0</v>
      </c>
      <c r="Y743" s="263"/>
      <c r="Z743" s="263"/>
      <c r="AB743" s="265" t="str">
        <f t="shared" si="107"/>
        <v/>
      </c>
    </row>
    <row r="744" spans="1:28" s="264" customFormat="1" ht="20.399999999999999">
      <c r="A744" s="207"/>
      <c r="B744" s="208"/>
      <c r="C744" s="212"/>
      <c r="D744" s="270"/>
      <c r="E744" s="208"/>
      <c r="F744" s="208"/>
      <c r="G744" s="208"/>
      <c r="H744" s="209"/>
      <c r="I744" s="210"/>
      <c r="J744" s="210"/>
      <c r="K744" s="260"/>
      <c r="L744" s="260"/>
      <c r="M744" s="260"/>
      <c r="N744" s="260"/>
      <c r="O744" s="260"/>
      <c r="P744" s="211"/>
      <c r="Q744" s="261"/>
      <c r="R744" s="208" t="str">
        <f ca="1">IF(ISERROR($V744),"",OFFSET('Smelter Look-up'!$C$4,$V744-4,0)&amp;"")</f>
        <v/>
      </c>
      <c r="S744" s="215" t="str">
        <f t="shared" ca="1" si="105"/>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si="106"/>
        <v>0</v>
      </c>
      <c r="Y744" s="263"/>
      <c r="Z744" s="263"/>
      <c r="AB744" s="265" t="str">
        <f t="shared" si="107"/>
        <v/>
      </c>
    </row>
    <row r="745" spans="1:28" s="264" customFormat="1" ht="20.399999999999999">
      <c r="A745" s="207"/>
      <c r="B745" s="208"/>
      <c r="C745" s="212"/>
      <c r="D745" s="270"/>
      <c r="E745" s="208"/>
      <c r="F745" s="208"/>
      <c r="G745" s="208"/>
      <c r="H745" s="209"/>
      <c r="I745" s="210"/>
      <c r="J745" s="210"/>
      <c r="K745" s="260"/>
      <c r="L745" s="260"/>
      <c r="M745" s="260"/>
      <c r="N745" s="260"/>
      <c r="O745" s="260"/>
      <c r="P745" s="211"/>
      <c r="Q745" s="261"/>
      <c r="R745" s="208" t="str">
        <f ca="1">IF(ISERROR($V745),"",OFFSET('Smelter Look-up'!$C$4,$V745-4,0)&amp;"")</f>
        <v/>
      </c>
      <c r="S745" s="215" t="str">
        <f t="shared" ca="1" si="105"/>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si="106"/>
        <v>0</v>
      </c>
      <c r="Y745" s="263"/>
      <c r="Z745" s="263"/>
      <c r="AB745" s="265" t="str">
        <f t="shared" si="107"/>
        <v/>
      </c>
    </row>
    <row r="746" spans="1:28" s="264" customFormat="1" ht="20.399999999999999">
      <c r="A746" s="207"/>
      <c r="B746" s="208"/>
      <c r="C746" s="212"/>
      <c r="D746" s="270"/>
      <c r="E746" s="208"/>
      <c r="F746" s="208"/>
      <c r="G746" s="208"/>
      <c r="H746" s="209"/>
      <c r="I746" s="210"/>
      <c r="J746" s="210"/>
      <c r="K746" s="260"/>
      <c r="L746" s="260"/>
      <c r="M746" s="260"/>
      <c r="N746" s="260"/>
      <c r="O746" s="260"/>
      <c r="P746" s="211"/>
      <c r="Q746" s="261"/>
      <c r="R746" s="208" t="str">
        <f ca="1">IF(ISERROR($V746),"",OFFSET('Smelter Look-up'!$C$4,$V746-4,0)&amp;"")</f>
        <v/>
      </c>
      <c r="S746" s="215" t="str">
        <f t="shared" ca="1" si="105"/>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si="106"/>
        <v>0</v>
      </c>
      <c r="Y746" s="263"/>
      <c r="Z746" s="263"/>
      <c r="AB746" s="265" t="str">
        <f t="shared" si="107"/>
        <v/>
      </c>
    </row>
    <row r="747" spans="1:28" s="264" customFormat="1" ht="20.399999999999999">
      <c r="A747" s="207"/>
      <c r="B747" s="208"/>
      <c r="C747" s="212"/>
      <c r="D747" s="270"/>
      <c r="E747" s="208"/>
      <c r="F747" s="208"/>
      <c r="G747" s="208"/>
      <c r="H747" s="209"/>
      <c r="I747" s="210"/>
      <c r="J747" s="210"/>
      <c r="K747" s="260"/>
      <c r="L747" s="260"/>
      <c r="M747" s="260"/>
      <c r="N747" s="260"/>
      <c r="O747" s="260"/>
      <c r="P747" s="211"/>
      <c r="Q747" s="261"/>
      <c r="R747" s="208" t="str">
        <f ca="1">IF(ISERROR($V747),"",OFFSET('Smelter Look-up'!$C$4,$V747-4,0)&amp;"")</f>
        <v/>
      </c>
      <c r="S747" s="215" t="str">
        <f t="shared" ca="1" si="105"/>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si="106"/>
        <v>0</v>
      </c>
      <c r="Y747" s="263"/>
      <c r="Z747" s="263"/>
      <c r="AB747" s="265" t="str">
        <f t="shared" si="107"/>
        <v/>
      </c>
    </row>
    <row r="748" spans="1:28" s="264" customFormat="1" ht="20.399999999999999">
      <c r="A748" s="207"/>
      <c r="B748" s="208"/>
      <c r="C748" s="212"/>
      <c r="D748" s="270"/>
      <c r="E748" s="208"/>
      <c r="F748" s="208"/>
      <c r="G748" s="208"/>
      <c r="H748" s="209"/>
      <c r="I748" s="210"/>
      <c r="J748" s="210"/>
      <c r="K748" s="260"/>
      <c r="L748" s="260"/>
      <c r="M748" s="260"/>
      <c r="N748" s="260"/>
      <c r="O748" s="260"/>
      <c r="P748" s="211"/>
      <c r="Q748" s="261"/>
      <c r="R748" s="208" t="str">
        <f ca="1">IF(ISERROR($V748),"",OFFSET('Smelter Look-up'!$C$4,$V748-4,0)&amp;"")</f>
        <v/>
      </c>
      <c r="S748" s="215" t="str">
        <f t="shared" ca="1" si="105"/>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si="106"/>
        <v>0</v>
      </c>
      <c r="Y748" s="263"/>
      <c r="Z748" s="263"/>
      <c r="AB748" s="265" t="str">
        <f t="shared" si="107"/>
        <v/>
      </c>
    </row>
    <row r="749" spans="1:28" s="264" customFormat="1" ht="20.399999999999999">
      <c r="A749" s="207"/>
      <c r="B749" s="208"/>
      <c r="C749" s="212"/>
      <c r="D749" s="270"/>
      <c r="E749" s="208"/>
      <c r="F749" s="208"/>
      <c r="G749" s="208"/>
      <c r="H749" s="209"/>
      <c r="I749" s="210"/>
      <c r="J749" s="210"/>
      <c r="K749" s="260"/>
      <c r="L749" s="260"/>
      <c r="M749" s="260"/>
      <c r="N749" s="260"/>
      <c r="O749" s="260"/>
      <c r="P749" s="211"/>
      <c r="Q749" s="261"/>
      <c r="R749" s="208" t="str">
        <f ca="1">IF(ISERROR($V749),"",OFFSET('Smelter Look-up'!$C$4,$V749-4,0)&amp;"")</f>
        <v/>
      </c>
      <c r="S749" s="215" t="str">
        <f t="shared" ca="1" si="105"/>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si="106"/>
        <v>0</v>
      </c>
      <c r="Y749" s="263"/>
      <c r="Z749" s="263"/>
      <c r="AB749" s="265" t="str">
        <f t="shared" si="107"/>
        <v/>
      </c>
    </row>
    <row r="750" spans="1:28" s="264" customFormat="1" ht="20.399999999999999">
      <c r="A750" s="207"/>
      <c r="B750" s="208"/>
      <c r="C750" s="212"/>
      <c r="D750" s="270"/>
      <c r="E750" s="208"/>
      <c r="F750" s="208"/>
      <c r="G750" s="208"/>
      <c r="H750" s="209"/>
      <c r="I750" s="210"/>
      <c r="J750" s="210"/>
      <c r="K750" s="260"/>
      <c r="L750" s="260"/>
      <c r="M750" s="260"/>
      <c r="N750" s="260"/>
      <c r="O750" s="260"/>
      <c r="P750" s="211"/>
      <c r="Q750" s="261"/>
      <c r="R750" s="208" t="str">
        <f ca="1">IF(ISERROR($V750),"",OFFSET('Smelter Look-up'!$C$4,$V750-4,0)&amp;"")</f>
        <v/>
      </c>
      <c r="S750" s="215" t="str">
        <f t="shared" ca="1" si="105"/>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si="106"/>
        <v>0</v>
      </c>
      <c r="Y750" s="263"/>
      <c r="Z750" s="263"/>
      <c r="AB750" s="265" t="str">
        <f t="shared" si="107"/>
        <v/>
      </c>
    </row>
    <row r="751" spans="1:28" s="264" customFormat="1" ht="20.399999999999999">
      <c r="A751" s="207"/>
      <c r="B751" s="208"/>
      <c r="C751" s="212"/>
      <c r="D751" s="270"/>
      <c r="E751" s="208"/>
      <c r="F751" s="208"/>
      <c r="G751" s="208"/>
      <c r="H751" s="209"/>
      <c r="I751" s="210"/>
      <c r="J751" s="210"/>
      <c r="K751" s="260"/>
      <c r="L751" s="260"/>
      <c r="M751" s="260"/>
      <c r="N751" s="260"/>
      <c r="O751" s="260"/>
      <c r="P751" s="211"/>
      <c r="Q751" s="261"/>
      <c r="R751" s="208" t="str">
        <f ca="1">IF(ISERROR($V751),"",OFFSET('Smelter Look-up'!$C$4,$V751-4,0)&amp;"")</f>
        <v/>
      </c>
      <c r="S751" s="215" t="str">
        <f t="shared" ca="1" si="105"/>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si="106"/>
        <v>0</v>
      </c>
      <c r="Y751" s="263"/>
      <c r="Z751" s="263"/>
      <c r="AB751" s="265" t="str">
        <f t="shared" si="107"/>
        <v/>
      </c>
    </row>
    <row r="752" spans="1:28" s="264" customFormat="1" ht="20.399999999999999">
      <c r="A752" s="207"/>
      <c r="B752" s="208"/>
      <c r="C752" s="212"/>
      <c r="D752" s="270"/>
      <c r="E752" s="208"/>
      <c r="F752" s="208"/>
      <c r="G752" s="208"/>
      <c r="H752" s="209"/>
      <c r="I752" s="210"/>
      <c r="J752" s="210"/>
      <c r="K752" s="260"/>
      <c r="L752" s="260"/>
      <c r="M752" s="260"/>
      <c r="N752" s="260"/>
      <c r="O752" s="260"/>
      <c r="P752" s="211"/>
      <c r="Q752" s="261"/>
      <c r="R752" s="208" t="str">
        <f ca="1">IF(ISERROR($V752),"",OFFSET('Smelter Look-up'!$C$4,$V752-4,0)&amp;"")</f>
        <v/>
      </c>
      <c r="S752" s="215" t="str">
        <f t="shared" ca="1" si="105"/>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si="106"/>
        <v>0</v>
      </c>
      <c r="Y752" s="263"/>
      <c r="Z752" s="263"/>
      <c r="AB752" s="265" t="str">
        <f t="shared" si="107"/>
        <v/>
      </c>
    </row>
    <row r="753" spans="1:28" s="264" customFormat="1" ht="20.399999999999999">
      <c r="A753" s="207"/>
      <c r="B753" s="208"/>
      <c r="C753" s="212"/>
      <c r="D753" s="270"/>
      <c r="E753" s="208"/>
      <c r="F753" s="208"/>
      <c r="G753" s="208"/>
      <c r="H753" s="209"/>
      <c r="I753" s="210"/>
      <c r="J753" s="210"/>
      <c r="K753" s="260"/>
      <c r="L753" s="260"/>
      <c r="M753" s="260"/>
      <c r="N753" s="260"/>
      <c r="O753" s="260"/>
      <c r="P753" s="211"/>
      <c r="Q753" s="261"/>
      <c r="R753" s="208" t="str">
        <f ca="1">IF(ISERROR($V753),"",OFFSET('Smelter Look-up'!$C$4,$V753-4,0)&amp;"")</f>
        <v/>
      </c>
      <c r="S753" s="215" t="str">
        <f t="shared" ca="1" si="105"/>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si="106"/>
        <v>0</v>
      </c>
      <c r="Y753" s="263"/>
      <c r="Z753" s="263"/>
      <c r="AB753" s="265" t="str">
        <f t="shared" si="107"/>
        <v/>
      </c>
    </row>
    <row r="754" spans="1:28" s="264" customFormat="1" ht="20.399999999999999">
      <c r="A754" s="207"/>
      <c r="B754" s="208"/>
      <c r="C754" s="212"/>
      <c r="D754" s="270"/>
      <c r="E754" s="208"/>
      <c r="F754" s="208"/>
      <c r="G754" s="208"/>
      <c r="H754" s="209"/>
      <c r="I754" s="210"/>
      <c r="J754" s="210"/>
      <c r="K754" s="260"/>
      <c r="L754" s="260"/>
      <c r="M754" s="260"/>
      <c r="N754" s="260"/>
      <c r="O754" s="260"/>
      <c r="P754" s="211"/>
      <c r="Q754" s="261"/>
      <c r="R754" s="208" t="str">
        <f ca="1">IF(ISERROR($V754),"",OFFSET('Smelter Look-up'!$C$4,$V754-4,0)&amp;"")</f>
        <v/>
      </c>
      <c r="S754" s="215" t="str">
        <f t="shared" ca="1" si="105"/>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si="106"/>
        <v>0</v>
      </c>
      <c r="Y754" s="263"/>
      <c r="Z754" s="263"/>
      <c r="AB754" s="265" t="str">
        <f t="shared" si="107"/>
        <v/>
      </c>
    </row>
    <row r="755" spans="1:28" s="264" customFormat="1" ht="20.399999999999999">
      <c r="A755" s="207"/>
      <c r="B755" s="208"/>
      <c r="C755" s="212"/>
      <c r="D755" s="270"/>
      <c r="E755" s="208"/>
      <c r="F755" s="208"/>
      <c r="G755" s="208"/>
      <c r="H755" s="209"/>
      <c r="I755" s="210"/>
      <c r="J755" s="210"/>
      <c r="K755" s="260"/>
      <c r="L755" s="260"/>
      <c r="M755" s="260"/>
      <c r="N755" s="260"/>
      <c r="O755" s="260"/>
      <c r="P755" s="211"/>
      <c r="Q755" s="261"/>
      <c r="R755" s="208" t="str">
        <f ca="1">IF(ISERROR($V755),"",OFFSET('Smelter Look-up'!$C$4,$V755-4,0)&amp;"")</f>
        <v/>
      </c>
      <c r="S755" s="215" t="str">
        <f t="shared" ca="1" si="105"/>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si="106"/>
        <v>0</v>
      </c>
      <c r="Y755" s="263"/>
      <c r="Z755" s="263"/>
      <c r="AB755" s="265" t="str">
        <f t="shared" si="107"/>
        <v/>
      </c>
    </row>
    <row r="756" spans="1:28" s="264" customFormat="1" ht="20.399999999999999">
      <c r="A756" s="207"/>
      <c r="B756" s="208"/>
      <c r="C756" s="212"/>
      <c r="D756" s="270"/>
      <c r="E756" s="208"/>
      <c r="F756" s="208"/>
      <c r="G756" s="208"/>
      <c r="H756" s="209"/>
      <c r="I756" s="210"/>
      <c r="J756" s="210"/>
      <c r="K756" s="260"/>
      <c r="L756" s="260"/>
      <c r="M756" s="260"/>
      <c r="N756" s="260"/>
      <c r="O756" s="260"/>
      <c r="P756" s="211"/>
      <c r="Q756" s="261"/>
      <c r="R756" s="208" t="str">
        <f ca="1">IF(ISERROR($V756),"",OFFSET('Smelter Look-up'!$C$4,$V756-4,0)&amp;"")</f>
        <v/>
      </c>
      <c r="S756" s="215" t="str">
        <f t="shared" ca="1" si="105"/>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si="106"/>
        <v>0</v>
      </c>
      <c r="Y756" s="263"/>
      <c r="Z756" s="263"/>
      <c r="AB756" s="265" t="str">
        <f t="shared" si="107"/>
        <v/>
      </c>
    </row>
    <row r="757" spans="1:28" s="264" customFormat="1" ht="20.399999999999999">
      <c r="A757" s="207"/>
      <c r="B757" s="208"/>
      <c r="C757" s="212"/>
      <c r="D757" s="270"/>
      <c r="E757" s="208"/>
      <c r="F757" s="208"/>
      <c r="G757" s="208"/>
      <c r="H757" s="209"/>
      <c r="I757" s="210"/>
      <c r="J757" s="210"/>
      <c r="K757" s="260"/>
      <c r="L757" s="260"/>
      <c r="M757" s="260"/>
      <c r="N757" s="260"/>
      <c r="O757" s="260"/>
      <c r="P757" s="211"/>
      <c r="Q757" s="261"/>
      <c r="R757" s="208" t="str">
        <f ca="1">IF(ISERROR($V757),"",OFFSET('Smelter Look-up'!$C$4,$V757-4,0)&amp;"")</f>
        <v/>
      </c>
      <c r="S757" s="215" t="str">
        <f t="shared" ca="1" si="105"/>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si="106"/>
        <v>0</v>
      </c>
      <c r="Y757" s="263"/>
      <c r="Z757" s="263"/>
      <c r="AB757" s="265" t="str">
        <f t="shared" si="107"/>
        <v/>
      </c>
    </row>
    <row r="758" spans="1:28" s="264" customFormat="1" ht="20.399999999999999">
      <c r="A758" s="207"/>
      <c r="B758" s="208"/>
      <c r="C758" s="212"/>
      <c r="D758" s="270"/>
      <c r="E758" s="208"/>
      <c r="F758" s="208"/>
      <c r="G758" s="208"/>
      <c r="H758" s="209"/>
      <c r="I758" s="210"/>
      <c r="J758" s="210"/>
      <c r="K758" s="260"/>
      <c r="L758" s="260"/>
      <c r="M758" s="260"/>
      <c r="N758" s="260"/>
      <c r="O758" s="260"/>
      <c r="P758" s="211"/>
      <c r="Q758" s="261"/>
      <c r="R758" s="208" t="str">
        <f ca="1">IF(ISERROR($V758),"",OFFSET('Smelter Look-up'!$C$4,$V758-4,0)&amp;"")</f>
        <v/>
      </c>
      <c r="S758" s="215" t="str">
        <f t="shared" ca="1" si="105"/>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si="106"/>
        <v>0</v>
      </c>
      <c r="Y758" s="263"/>
      <c r="Z758" s="263"/>
      <c r="AB758" s="265" t="str">
        <f t="shared" si="107"/>
        <v/>
      </c>
    </row>
    <row r="759" spans="1:28" s="264" customFormat="1" ht="20.399999999999999">
      <c r="A759" s="207"/>
      <c r="B759" s="208"/>
      <c r="C759" s="212"/>
      <c r="D759" s="270"/>
      <c r="E759" s="208"/>
      <c r="F759" s="208"/>
      <c r="G759" s="208"/>
      <c r="H759" s="209"/>
      <c r="I759" s="210"/>
      <c r="J759" s="210"/>
      <c r="K759" s="260"/>
      <c r="L759" s="260"/>
      <c r="M759" s="260"/>
      <c r="N759" s="260"/>
      <c r="O759" s="260"/>
      <c r="P759" s="211"/>
      <c r="Q759" s="261"/>
      <c r="R759" s="208" t="str">
        <f ca="1">IF(ISERROR($V759),"",OFFSET('Smelter Look-up'!$C$4,$V759-4,0)&amp;"")</f>
        <v/>
      </c>
      <c r="S759" s="215" t="str">
        <f t="shared" ca="1" si="105"/>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si="106"/>
        <v>0</v>
      </c>
      <c r="Y759" s="263"/>
      <c r="Z759" s="263"/>
      <c r="AB759" s="265" t="str">
        <f t="shared" si="107"/>
        <v/>
      </c>
    </row>
    <row r="760" spans="1:28" s="264" customFormat="1" ht="20.399999999999999">
      <c r="A760" s="207"/>
      <c r="B760" s="208"/>
      <c r="C760" s="212"/>
      <c r="D760" s="270"/>
      <c r="E760" s="208"/>
      <c r="F760" s="208"/>
      <c r="G760" s="208"/>
      <c r="H760" s="209"/>
      <c r="I760" s="210"/>
      <c r="J760" s="210"/>
      <c r="K760" s="260"/>
      <c r="L760" s="260"/>
      <c r="M760" s="260"/>
      <c r="N760" s="260"/>
      <c r="O760" s="260"/>
      <c r="P760" s="211"/>
      <c r="Q760" s="261"/>
      <c r="R760" s="208" t="str">
        <f ca="1">IF(ISERROR($V760),"",OFFSET('Smelter Look-up'!$C$4,$V760-4,0)&amp;"")</f>
        <v/>
      </c>
      <c r="S760" s="215" t="str">
        <f t="shared" ca="1" si="105"/>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si="106"/>
        <v>0</v>
      </c>
      <c r="Y760" s="263"/>
      <c r="Z760" s="263"/>
      <c r="AB760" s="265" t="str">
        <f t="shared" si="107"/>
        <v/>
      </c>
    </row>
    <row r="761" spans="1:28" s="264" customFormat="1" ht="20.399999999999999">
      <c r="A761" s="207"/>
      <c r="B761" s="208"/>
      <c r="C761" s="212"/>
      <c r="D761" s="270"/>
      <c r="E761" s="208"/>
      <c r="F761" s="208"/>
      <c r="G761" s="208"/>
      <c r="H761" s="209"/>
      <c r="I761" s="210"/>
      <c r="J761" s="210"/>
      <c r="K761" s="260"/>
      <c r="L761" s="260"/>
      <c r="M761" s="260"/>
      <c r="N761" s="260"/>
      <c r="O761" s="260"/>
      <c r="P761" s="211"/>
      <c r="Q761" s="261"/>
      <c r="R761" s="208" t="str">
        <f ca="1">IF(ISERROR($V761),"",OFFSET('Smelter Look-up'!$C$4,$V761-4,0)&amp;"")</f>
        <v/>
      </c>
      <c r="S761" s="215" t="str">
        <f t="shared" ca="1" si="105"/>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si="106"/>
        <v>0</v>
      </c>
      <c r="Y761" s="263"/>
      <c r="Z761" s="263"/>
      <c r="AB761" s="265" t="str">
        <f t="shared" si="107"/>
        <v/>
      </c>
    </row>
    <row r="762" spans="1:28" s="264" customFormat="1" ht="20.399999999999999">
      <c r="A762" s="207"/>
      <c r="B762" s="208"/>
      <c r="C762" s="212"/>
      <c r="D762" s="270"/>
      <c r="E762" s="208"/>
      <c r="F762" s="208"/>
      <c r="G762" s="208"/>
      <c r="H762" s="209"/>
      <c r="I762" s="210"/>
      <c r="J762" s="210"/>
      <c r="K762" s="260"/>
      <c r="L762" s="260"/>
      <c r="M762" s="260"/>
      <c r="N762" s="260"/>
      <c r="O762" s="260"/>
      <c r="P762" s="211"/>
      <c r="Q762" s="261"/>
      <c r="R762" s="208" t="str">
        <f ca="1">IF(ISERROR($V762),"",OFFSET('Smelter Look-up'!$C$4,$V762-4,0)&amp;"")</f>
        <v/>
      </c>
      <c r="S762" s="215" t="str">
        <f t="shared" ca="1" si="105"/>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si="106"/>
        <v>0</v>
      </c>
      <c r="Y762" s="263"/>
      <c r="Z762" s="263"/>
      <c r="AB762" s="265" t="str">
        <f t="shared" si="107"/>
        <v/>
      </c>
    </row>
    <row r="763" spans="1:28" s="264" customFormat="1" ht="20.399999999999999">
      <c r="A763" s="207"/>
      <c r="B763" s="208"/>
      <c r="C763" s="212"/>
      <c r="D763" s="270"/>
      <c r="E763" s="208"/>
      <c r="F763" s="208"/>
      <c r="G763" s="208"/>
      <c r="H763" s="209"/>
      <c r="I763" s="210"/>
      <c r="J763" s="210"/>
      <c r="K763" s="260"/>
      <c r="L763" s="260"/>
      <c r="M763" s="260"/>
      <c r="N763" s="260"/>
      <c r="O763" s="260"/>
      <c r="P763" s="211"/>
      <c r="Q763" s="261"/>
      <c r="R763" s="208" t="str">
        <f ca="1">IF(ISERROR($V763),"",OFFSET('Smelter Look-up'!$C$4,$V763-4,0)&amp;"")</f>
        <v/>
      </c>
      <c r="S763" s="215" t="str">
        <f t="shared" ref="S763" ca="1" si="108">IF(B763="","",IF(ISERROR(MATCH($E763,CL,0)),"Unknown",INDIRECT("'C'!$A$"&amp;MATCH($E763,CL,0)+1)))</f>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ref="X763" si="109">IF(AND(C763="Smelter not listed",OR(LEN(D763)=0,LEN(E763)=0)),1,0)</f>
        <v>0</v>
      </c>
      <c r="Y763" s="263"/>
      <c r="Z763" s="263"/>
      <c r="AB763" s="265" t="str">
        <f t="shared" ref="AB763" si="110">B763&amp;C763</f>
        <v/>
      </c>
    </row>
    <row r="764" spans="1:28" s="264" customFormat="1" ht="20.399999999999999">
      <c r="A764" s="207"/>
      <c r="B764" s="208"/>
      <c r="C764" s="212"/>
      <c r="D764" s="270"/>
      <c r="E764" s="208"/>
      <c r="F764" s="208"/>
      <c r="G764" s="208"/>
      <c r="H764" s="209"/>
      <c r="I764" s="210"/>
      <c r="J764" s="210"/>
      <c r="K764" s="260"/>
      <c r="L764" s="260"/>
      <c r="M764" s="260"/>
      <c r="N764" s="260"/>
      <c r="O764" s="260"/>
      <c r="P764" s="211"/>
      <c r="Q764" s="261"/>
      <c r="R764" s="208" t="str">
        <f ca="1">IF(ISERROR($V764),"",OFFSET('Smelter Look-up'!$C$4,$V764-4,0)&amp;"")</f>
        <v/>
      </c>
      <c r="S764" s="215" t="str">
        <f t="shared" ref="S764:S795" ca="1" si="111">IF(B764="","",IF(ISERROR(MATCH($E764,CL,0)),"Unknown",INDIRECT("'C'!$A$"&amp;MATCH($E764,CL,0)+1)))</f>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ref="X764:X795" si="112">IF(AND(C764="Smelter not listed",OR(LEN(D764)=0,LEN(E764)=0)),1,0)</f>
        <v>0</v>
      </c>
      <c r="Y764" s="263"/>
      <c r="Z764" s="263"/>
      <c r="AB764" s="265" t="str">
        <f t="shared" ref="AB764:AB795" si="113">B764&amp;C764</f>
        <v/>
      </c>
    </row>
    <row r="765" spans="1:28" s="264" customFormat="1" ht="20.399999999999999">
      <c r="A765" s="207"/>
      <c r="B765" s="208"/>
      <c r="C765" s="212"/>
      <c r="D765" s="270"/>
      <c r="E765" s="208"/>
      <c r="F765" s="208"/>
      <c r="G765" s="208"/>
      <c r="H765" s="209"/>
      <c r="I765" s="210"/>
      <c r="J765" s="210"/>
      <c r="K765" s="260"/>
      <c r="L765" s="260"/>
      <c r="M765" s="260"/>
      <c r="N765" s="260"/>
      <c r="O765" s="260"/>
      <c r="P765" s="211"/>
      <c r="Q765" s="261"/>
      <c r="R765" s="208" t="str">
        <f ca="1">IF(ISERROR($V765),"",OFFSET('Smelter Look-up'!$C$4,$V765-4,0)&amp;"")</f>
        <v/>
      </c>
      <c r="S765" s="215" t="str">
        <f t="shared" ca="1" si="111"/>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si="112"/>
        <v>0</v>
      </c>
      <c r="Y765" s="263"/>
      <c r="Z765" s="263"/>
      <c r="AB765" s="265" t="str">
        <f t="shared" si="113"/>
        <v/>
      </c>
    </row>
    <row r="766" spans="1:28" s="264" customFormat="1" ht="20.399999999999999">
      <c r="A766" s="207"/>
      <c r="B766" s="208"/>
      <c r="C766" s="212"/>
      <c r="D766" s="270"/>
      <c r="E766" s="208"/>
      <c r="F766" s="208"/>
      <c r="G766" s="208"/>
      <c r="H766" s="209"/>
      <c r="I766" s="210"/>
      <c r="J766" s="210"/>
      <c r="K766" s="260"/>
      <c r="L766" s="260"/>
      <c r="M766" s="260"/>
      <c r="N766" s="260"/>
      <c r="O766" s="260"/>
      <c r="P766" s="211"/>
      <c r="Q766" s="261"/>
      <c r="R766" s="208" t="str">
        <f ca="1">IF(ISERROR($V766),"",OFFSET('Smelter Look-up'!$C$4,$V766-4,0)&amp;"")</f>
        <v/>
      </c>
      <c r="S766" s="215" t="str">
        <f t="shared" ca="1" si="111"/>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si="112"/>
        <v>0</v>
      </c>
      <c r="Y766" s="263"/>
      <c r="Z766" s="263"/>
      <c r="AB766" s="265" t="str">
        <f t="shared" si="113"/>
        <v/>
      </c>
    </row>
    <row r="767" spans="1:28" s="264" customFormat="1" ht="20.399999999999999">
      <c r="A767" s="207"/>
      <c r="B767" s="208"/>
      <c r="C767" s="212"/>
      <c r="D767" s="270"/>
      <c r="E767" s="208"/>
      <c r="F767" s="208"/>
      <c r="G767" s="208"/>
      <c r="H767" s="209"/>
      <c r="I767" s="210"/>
      <c r="J767" s="210"/>
      <c r="K767" s="260"/>
      <c r="L767" s="260"/>
      <c r="M767" s="260"/>
      <c r="N767" s="260"/>
      <c r="O767" s="260"/>
      <c r="P767" s="211"/>
      <c r="Q767" s="261"/>
      <c r="R767" s="208" t="str">
        <f ca="1">IF(ISERROR($V767),"",OFFSET('Smelter Look-up'!$C$4,$V767-4,0)&amp;"")</f>
        <v/>
      </c>
      <c r="S767" s="215" t="str">
        <f t="shared" ca="1" si="111"/>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si="112"/>
        <v>0</v>
      </c>
      <c r="Y767" s="263"/>
      <c r="Z767" s="263"/>
      <c r="AB767" s="265" t="str">
        <f t="shared" si="113"/>
        <v/>
      </c>
    </row>
    <row r="768" spans="1:28" s="264" customFormat="1" ht="20.399999999999999">
      <c r="A768" s="207"/>
      <c r="B768" s="208"/>
      <c r="C768" s="212"/>
      <c r="D768" s="270"/>
      <c r="E768" s="208"/>
      <c r="F768" s="208"/>
      <c r="G768" s="208"/>
      <c r="H768" s="209"/>
      <c r="I768" s="210"/>
      <c r="J768" s="210"/>
      <c r="K768" s="260"/>
      <c r="L768" s="260"/>
      <c r="M768" s="260"/>
      <c r="N768" s="260"/>
      <c r="O768" s="260"/>
      <c r="P768" s="211"/>
      <c r="Q768" s="261"/>
      <c r="R768" s="208" t="str">
        <f ca="1">IF(ISERROR($V768),"",OFFSET('Smelter Look-up'!$C$4,$V768-4,0)&amp;"")</f>
        <v/>
      </c>
      <c r="S768" s="215" t="str">
        <f t="shared" ca="1" si="111"/>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si="112"/>
        <v>0</v>
      </c>
      <c r="Y768" s="263"/>
      <c r="Z768" s="263"/>
      <c r="AB768" s="265" t="str">
        <f t="shared" si="113"/>
        <v/>
      </c>
    </row>
    <row r="769" spans="1:28" s="264" customFormat="1" ht="20.399999999999999">
      <c r="A769" s="207"/>
      <c r="B769" s="208"/>
      <c r="C769" s="212"/>
      <c r="D769" s="270"/>
      <c r="E769" s="208"/>
      <c r="F769" s="208"/>
      <c r="G769" s="208"/>
      <c r="H769" s="209"/>
      <c r="I769" s="210"/>
      <c r="J769" s="210"/>
      <c r="K769" s="260"/>
      <c r="L769" s="260"/>
      <c r="M769" s="260"/>
      <c r="N769" s="260"/>
      <c r="O769" s="260"/>
      <c r="P769" s="211"/>
      <c r="Q769" s="261"/>
      <c r="R769" s="208" t="str">
        <f ca="1">IF(ISERROR($V769),"",OFFSET('Smelter Look-up'!$C$4,$V769-4,0)&amp;"")</f>
        <v/>
      </c>
      <c r="S769" s="215" t="str">
        <f t="shared" ca="1" si="111"/>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si="112"/>
        <v>0</v>
      </c>
      <c r="Y769" s="263"/>
      <c r="Z769" s="263"/>
      <c r="AB769" s="265" t="str">
        <f t="shared" si="113"/>
        <v/>
      </c>
    </row>
    <row r="770" spans="1:28" s="264" customFormat="1" ht="20.399999999999999">
      <c r="A770" s="207"/>
      <c r="B770" s="208"/>
      <c r="C770" s="212"/>
      <c r="D770" s="270"/>
      <c r="E770" s="208"/>
      <c r="F770" s="208"/>
      <c r="G770" s="208"/>
      <c r="H770" s="209"/>
      <c r="I770" s="210"/>
      <c r="J770" s="210"/>
      <c r="K770" s="260"/>
      <c r="L770" s="260"/>
      <c r="M770" s="260"/>
      <c r="N770" s="260"/>
      <c r="O770" s="260"/>
      <c r="P770" s="211"/>
      <c r="Q770" s="261"/>
      <c r="R770" s="208" t="str">
        <f ca="1">IF(ISERROR($V770),"",OFFSET('Smelter Look-up'!$C$4,$V770-4,0)&amp;"")</f>
        <v/>
      </c>
      <c r="S770" s="215" t="str">
        <f t="shared" ca="1" si="111"/>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si="112"/>
        <v>0</v>
      </c>
      <c r="Y770" s="263"/>
      <c r="Z770" s="263"/>
      <c r="AB770" s="265" t="str">
        <f t="shared" si="113"/>
        <v/>
      </c>
    </row>
    <row r="771" spans="1:28" s="264" customFormat="1" ht="20.399999999999999">
      <c r="A771" s="207"/>
      <c r="B771" s="208"/>
      <c r="C771" s="212"/>
      <c r="D771" s="270"/>
      <c r="E771" s="208"/>
      <c r="F771" s="208"/>
      <c r="G771" s="208"/>
      <c r="H771" s="209"/>
      <c r="I771" s="210"/>
      <c r="J771" s="210"/>
      <c r="K771" s="260"/>
      <c r="L771" s="260"/>
      <c r="M771" s="260"/>
      <c r="N771" s="260"/>
      <c r="O771" s="260"/>
      <c r="P771" s="211"/>
      <c r="Q771" s="261"/>
      <c r="R771" s="208" t="str">
        <f ca="1">IF(ISERROR($V771),"",OFFSET('Smelter Look-up'!$C$4,$V771-4,0)&amp;"")</f>
        <v/>
      </c>
      <c r="S771" s="215" t="str">
        <f t="shared" ca="1" si="111"/>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si="112"/>
        <v>0</v>
      </c>
      <c r="Y771" s="263"/>
      <c r="Z771" s="263"/>
      <c r="AB771" s="265" t="str">
        <f t="shared" si="113"/>
        <v/>
      </c>
    </row>
    <row r="772" spans="1:28" s="264" customFormat="1" ht="20.399999999999999">
      <c r="A772" s="207"/>
      <c r="B772" s="208"/>
      <c r="C772" s="212"/>
      <c r="D772" s="270"/>
      <c r="E772" s="208"/>
      <c r="F772" s="208"/>
      <c r="G772" s="208"/>
      <c r="H772" s="209"/>
      <c r="I772" s="210"/>
      <c r="J772" s="210"/>
      <c r="K772" s="260"/>
      <c r="L772" s="260"/>
      <c r="M772" s="260"/>
      <c r="N772" s="260"/>
      <c r="O772" s="260"/>
      <c r="P772" s="211"/>
      <c r="Q772" s="261"/>
      <c r="R772" s="208" t="str">
        <f ca="1">IF(ISERROR($V772),"",OFFSET('Smelter Look-up'!$C$4,$V772-4,0)&amp;"")</f>
        <v/>
      </c>
      <c r="S772" s="215" t="str">
        <f t="shared" ca="1" si="111"/>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si="112"/>
        <v>0</v>
      </c>
      <c r="Y772" s="263"/>
      <c r="Z772" s="263"/>
      <c r="AB772" s="265" t="str">
        <f t="shared" si="113"/>
        <v/>
      </c>
    </row>
    <row r="773" spans="1:28" s="264" customFormat="1" ht="20.399999999999999">
      <c r="A773" s="207"/>
      <c r="B773" s="208"/>
      <c r="C773" s="212"/>
      <c r="D773" s="270"/>
      <c r="E773" s="208"/>
      <c r="F773" s="208"/>
      <c r="G773" s="208"/>
      <c r="H773" s="209"/>
      <c r="I773" s="210"/>
      <c r="J773" s="210"/>
      <c r="K773" s="260"/>
      <c r="L773" s="260"/>
      <c r="M773" s="260"/>
      <c r="N773" s="260"/>
      <c r="O773" s="260"/>
      <c r="P773" s="211"/>
      <c r="Q773" s="261"/>
      <c r="R773" s="208" t="str">
        <f ca="1">IF(ISERROR($V773),"",OFFSET('Smelter Look-up'!$C$4,$V773-4,0)&amp;"")</f>
        <v/>
      </c>
      <c r="S773" s="215" t="str">
        <f t="shared" ca="1" si="111"/>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si="112"/>
        <v>0</v>
      </c>
      <c r="Y773" s="263"/>
      <c r="Z773" s="263"/>
      <c r="AB773" s="265" t="str">
        <f t="shared" si="113"/>
        <v/>
      </c>
    </row>
    <row r="774" spans="1:28" s="264" customFormat="1" ht="20.399999999999999">
      <c r="A774" s="207"/>
      <c r="B774" s="208"/>
      <c r="C774" s="212"/>
      <c r="D774" s="270"/>
      <c r="E774" s="208"/>
      <c r="F774" s="208"/>
      <c r="G774" s="208"/>
      <c r="H774" s="209"/>
      <c r="I774" s="210"/>
      <c r="J774" s="210"/>
      <c r="K774" s="260"/>
      <c r="L774" s="260"/>
      <c r="M774" s="260"/>
      <c r="N774" s="260"/>
      <c r="O774" s="260"/>
      <c r="P774" s="211"/>
      <c r="Q774" s="261"/>
      <c r="R774" s="208" t="str">
        <f ca="1">IF(ISERROR($V774),"",OFFSET('Smelter Look-up'!$C$4,$V774-4,0)&amp;"")</f>
        <v/>
      </c>
      <c r="S774" s="215" t="str">
        <f t="shared" ca="1" si="111"/>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si="112"/>
        <v>0</v>
      </c>
      <c r="Y774" s="263"/>
      <c r="Z774" s="263"/>
      <c r="AB774" s="265" t="str">
        <f t="shared" si="113"/>
        <v/>
      </c>
    </row>
    <row r="775" spans="1:28" s="264" customFormat="1" ht="20.399999999999999">
      <c r="A775" s="207"/>
      <c r="B775" s="208"/>
      <c r="C775" s="212"/>
      <c r="D775" s="270"/>
      <c r="E775" s="208"/>
      <c r="F775" s="208"/>
      <c r="G775" s="208"/>
      <c r="H775" s="209"/>
      <c r="I775" s="210"/>
      <c r="J775" s="210"/>
      <c r="K775" s="260"/>
      <c r="L775" s="260"/>
      <c r="M775" s="260"/>
      <c r="N775" s="260"/>
      <c r="O775" s="260"/>
      <c r="P775" s="211"/>
      <c r="Q775" s="261"/>
      <c r="R775" s="208" t="str">
        <f ca="1">IF(ISERROR($V775),"",OFFSET('Smelter Look-up'!$C$4,$V775-4,0)&amp;"")</f>
        <v/>
      </c>
      <c r="S775" s="215" t="str">
        <f t="shared" ca="1" si="111"/>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si="112"/>
        <v>0</v>
      </c>
      <c r="Y775" s="263"/>
      <c r="Z775" s="263"/>
      <c r="AB775" s="265" t="str">
        <f t="shared" si="113"/>
        <v/>
      </c>
    </row>
    <row r="776" spans="1:28" s="264" customFormat="1" ht="20.399999999999999">
      <c r="A776" s="207"/>
      <c r="B776" s="208"/>
      <c r="C776" s="212"/>
      <c r="D776" s="270"/>
      <c r="E776" s="208"/>
      <c r="F776" s="208"/>
      <c r="G776" s="208"/>
      <c r="H776" s="209"/>
      <c r="I776" s="210"/>
      <c r="J776" s="210"/>
      <c r="K776" s="260"/>
      <c r="L776" s="260"/>
      <c r="M776" s="260"/>
      <c r="N776" s="260"/>
      <c r="O776" s="260"/>
      <c r="P776" s="211"/>
      <c r="Q776" s="261"/>
      <c r="R776" s="208" t="str">
        <f ca="1">IF(ISERROR($V776),"",OFFSET('Smelter Look-up'!$C$4,$V776-4,0)&amp;"")</f>
        <v/>
      </c>
      <c r="S776" s="215" t="str">
        <f t="shared" ca="1" si="111"/>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si="112"/>
        <v>0</v>
      </c>
      <c r="Y776" s="263"/>
      <c r="Z776" s="263"/>
      <c r="AB776" s="265" t="str">
        <f t="shared" si="113"/>
        <v/>
      </c>
    </row>
    <row r="777" spans="1:28" s="264" customFormat="1" ht="20.399999999999999">
      <c r="A777" s="207"/>
      <c r="B777" s="208"/>
      <c r="C777" s="212"/>
      <c r="D777" s="270"/>
      <c r="E777" s="208"/>
      <c r="F777" s="208"/>
      <c r="G777" s="208"/>
      <c r="H777" s="209"/>
      <c r="I777" s="210"/>
      <c r="J777" s="210"/>
      <c r="K777" s="260"/>
      <c r="L777" s="260"/>
      <c r="M777" s="260"/>
      <c r="N777" s="260"/>
      <c r="O777" s="260"/>
      <c r="P777" s="211"/>
      <c r="Q777" s="261"/>
      <c r="R777" s="208" t="str">
        <f ca="1">IF(ISERROR($V777),"",OFFSET('Smelter Look-up'!$C$4,$V777-4,0)&amp;"")</f>
        <v/>
      </c>
      <c r="S777" s="215" t="str">
        <f t="shared" ca="1" si="111"/>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si="112"/>
        <v>0</v>
      </c>
      <c r="Y777" s="263"/>
      <c r="Z777" s="263"/>
      <c r="AB777" s="265" t="str">
        <f t="shared" si="113"/>
        <v/>
      </c>
    </row>
    <row r="778" spans="1:28" s="264" customFormat="1" ht="20.399999999999999">
      <c r="A778" s="207"/>
      <c r="B778" s="208"/>
      <c r="C778" s="212"/>
      <c r="D778" s="270"/>
      <c r="E778" s="208"/>
      <c r="F778" s="208"/>
      <c r="G778" s="208"/>
      <c r="H778" s="209"/>
      <c r="I778" s="210"/>
      <c r="J778" s="210"/>
      <c r="K778" s="260"/>
      <c r="L778" s="260"/>
      <c r="M778" s="260"/>
      <c r="N778" s="260"/>
      <c r="O778" s="260"/>
      <c r="P778" s="211"/>
      <c r="Q778" s="261"/>
      <c r="R778" s="208" t="str">
        <f ca="1">IF(ISERROR($V778),"",OFFSET('Smelter Look-up'!$C$4,$V778-4,0)&amp;"")</f>
        <v/>
      </c>
      <c r="S778" s="215" t="str">
        <f t="shared" ca="1" si="111"/>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si="112"/>
        <v>0</v>
      </c>
      <c r="Y778" s="263"/>
      <c r="Z778" s="263"/>
      <c r="AB778" s="265" t="str">
        <f t="shared" si="113"/>
        <v/>
      </c>
    </row>
    <row r="779" spans="1:28" s="264" customFormat="1" ht="20.399999999999999">
      <c r="A779" s="207"/>
      <c r="B779" s="208"/>
      <c r="C779" s="212"/>
      <c r="D779" s="270"/>
      <c r="E779" s="208"/>
      <c r="F779" s="208"/>
      <c r="G779" s="208"/>
      <c r="H779" s="209"/>
      <c r="I779" s="210"/>
      <c r="J779" s="210"/>
      <c r="K779" s="260"/>
      <c r="L779" s="260"/>
      <c r="M779" s="260"/>
      <c r="N779" s="260"/>
      <c r="O779" s="260"/>
      <c r="P779" s="211"/>
      <c r="Q779" s="261"/>
      <c r="R779" s="208" t="str">
        <f ca="1">IF(ISERROR($V779),"",OFFSET('Smelter Look-up'!$C$4,$V779-4,0)&amp;"")</f>
        <v/>
      </c>
      <c r="S779" s="215" t="str">
        <f t="shared" ca="1" si="111"/>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si="112"/>
        <v>0</v>
      </c>
      <c r="Y779" s="263"/>
      <c r="Z779" s="263"/>
      <c r="AB779" s="265" t="str">
        <f t="shared" si="113"/>
        <v/>
      </c>
    </row>
    <row r="780" spans="1:28" s="264" customFormat="1" ht="20.399999999999999">
      <c r="A780" s="207"/>
      <c r="B780" s="208"/>
      <c r="C780" s="212"/>
      <c r="D780" s="270"/>
      <c r="E780" s="208"/>
      <c r="F780" s="208"/>
      <c r="G780" s="208"/>
      <c r="H780" s="209"/>
      <c r="I780" s="210"/>
      <c r="J780" s="210"/>
      <c r="K780" s="260"/>
      <c r="L780" s="260"/>
      <c r="M780" s="260"/>
      <c r="N780" s="260"/>
      <c r="O780" s="260"/>
      <c r="P780" s="211"/>
      <c r="Q780" s="261"/>
      <c r="R780" s="208" t="str">
        <f ca="1">IF(ISERROR($V780),"",OFFSET('Smelter Look-up'!$C$4,$V780-4,0)&amp;"")</f>
        <v/>
      </c>
      <c r="S780" s="215" t="str">
        <f t="shared" ca="1" si="111"/>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si="112"/>
        <v>0</v>
      </c>
      <c r="Y780" s="263"/>
      <c r="Z780" s="263"/>
      <c r="AB780" s="265" t="str">
        <f t="shared" si="113"/>
        <v/>
      </c>
    </row>
    <row r="781" spans="1:28" s="264" customFormat="1" ht="20.399999999999999">
      <c r="A781" s="207"/>
      <c r="B781" s="208"/>
      <c r="C781" s="212"/>
      <c r="D781" s="270"/>
      <c r="E781" s="208"/>
      <c r="F781" s="208"/>
      <c r="G781" s="208"/>
      <c r="H781" s="209"/>
      <c r="I781" s="210"/>
      <c r="J781" s="210"/>
      <c r="K781" s="260"/>
      <c r="L781" s="260"/>
      <c r="M781" s="260"/>
      <c r="N781" s="260"/>
      <c r="O781" s="260"/>
      <c r="P781" s="211"/>
      <c r="Q781" s="261"/>
      <c r="R781" s="208" t="str">
        <f ca="1">IF(ISERROR($V781),"",OFFSET('Smelter Look-up'!$C$4,$V781-4,0)&amp;"")</f>
        <v/>
      </c>
      <c r="S781" s="215" t="str">
        <f t="shared" ca="1" si="111"/>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si="112"/>
        <v>0</v>
      </c>
      <c r="Y781" s="263"/>
      <c r="Z781" s="263"/>
      <c r="AB781" s="265" t="str">
        <f t="shared" si="113"/>
        <v/>
      </c>
    </row>
    <row r="782" spans="1:28" s="264" customFormat="1" ht="20.399999999999999">
      <c r="A782" s="207"/>
      <c r="B782" s="208"/>
      <c r="C782" s="212"/>
      <c r="D782" s="270"/>
      <c r="E782" s="208"/>
      <c r="F782" s="208"/>
      <c r="G782" s="208"/>
      <c r="H782" s="209"/>
      <c r="I782" s="210"/>
      <c r="J782" s="210"/>
      <c r="K782" s="260"/>
      <c r="L782" s="260"/>
      <c r="M782" s="260"/>
      <c r="N782" s="260"/>
      <c r="O782" s="260"/>
      <c r="P782" s="211"/>
      <c r="Q782" s="261"/>
      <c r="R782" s="208" t="str">
        <f ca="1">IF(ISERROR($V782),"",OFFSET('Smelter Look-up'!$C$4,$V782-4,0)&amp;"")</f>
        <v/>
      </c>
      <c r="S782" s="215" t="str">
        <f t="shared" ca="1" si="111"/>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si="112"/>
        <v>0</v>
      </c>
      <c r="Y782" s="263"/>
      <c r="Z782" s="263"/>
      <c r="AB782" s="265" t="str">
        <f t="shared" si="113"/>
        <v/>
      </c>
    </row>
    <row r="783" spans="1:28" s="264" customFormat="1" ht="20.399999999999999">
      <c r="A783" s="207"/>
      <c r="B783" s="208"/>
      <c r="C783" s="212"/>
      <c r="D783" s="270"/>
      <c r="E783" s="208"/>
      <c r="F783" s="208"/>
      <c r="G783" s="208"/>
      <c r="H783" s="209"/>
      <c r="I783" s="210"/>
      <c r="J783" s="210"/>
      <c r="K783" s="260"/>
      <c r="L783" s="260"/>
      <c r="M783" s="260"/>
      <c r="N783" s="260"/>
      <c r="O783" s="260"/>
      <c r="P783" s="211"/>
      <c r="Q783" s="261"/>
      <c r="R783" s="208" t="str">
        <f ca="1">IF(ISERROR($V783),"",OFFSET('Smelter Look-up'!$C$4,$V783-4,0)&amp;"")</f>
        <v/>
      </c>
      <c r="S783" s="215" t="str">
        <f t="shared" ca="1" si="111"/>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si="112"/>
        <v>0</v>
      </c>
      <c r="Y783" s="263"/>
      <c r="Z783" s="263"/>
      <c r="AB783" s="265" t="str">
        <f t="shared" si="113"/>
        <v/>
      </c>
    </row>
    <row r="784" spans="1:28" s="264" customFormat="1" ht="20.399999999999999">
      <c r="A784" s="207"/>
      <c r="B784" s="208"/>
      <c r="C784" s="212"/>
      <c r="D784" s="270"/>
      <c r="E784" s="208"/>
      <c r="F784" s="208"/>
      <c r="G784" s="208"/>
      <c r="H784" s="209"/>
      <c r="I784" s="210"/>
      <c r="J784" s="210"/>
      <c r="K784" s="260"/>
      <c r="L784" s="260"/>
      <c r="M784" s="260"/>
      <c r="N784" s="260"/>
      <c r="O784" s="260"/>
      <c r="P784" s="211"/>
      <c r="Q784" s="261"/>
      <c r="R784" s="208" t="str">
        <f ca="1">IF(ISERROR($V784),"",OFFSET('Smelter Look-up'!$C$4,$V784-4,0)&amp;"")</f>
        <v/>
      </c>
      <c r="S784" s="215" t="str">
        <f t="shared" ca="1" si="111"/>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si="112"/>
        <v>0</v>
      </c>
      <c r="Y784" s="263"/>
      <c r="Z784" s="263"/>
      <c r="AB784" s="265" t="str">
        <f t="shared" si="113"/>
        <v/>
      </c>
    </row>
    <row r="785" spans="1:28" s="264" customFormat="1" ht="20.399999999999999">
      <c r="A785" s="207"/>
      <c r="B785" s="208"/>
      <c r="C785" s="212"/>
      <c r="D785" s="270"/>
      <c r="E785" s="208"/>
      <c r="F785" s="208"/>
      <c r="G785" s="208"/>
      <c r="H785" s="209"/>
      <c r="I785" s="210"/>
      <c r="J785" s="210"/>
      <c r="K785" s="260"/>
      <c r="L785" s="260"/>
      <c r="M785" s="260"/>
      <c r="N785" s="260"/>
      <c r="O785" s="260"/>
      <c r="P785" s="211"/>
      <c r="Q785" s="261"/>
      <c r="R785" s="208" t="str">
        <f ca="1">IF(ISERROR($V785),"",OFFSET('Smelter Look-up'!$C$4,$V785-4,0)&amp;"")</f>
        <v/>
      </c>
      <c r="S785" s="215" t="str">
        <f t="shared" ca="1" si="111"/>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si="112"/>
        <v>0</v>
      </c>
      <c r="Y785" s="263"/>
      <c r="Z785" s="263"/>
      <c r="AB785" s="265" t="str">
        <f t="shared" si="113"/>
        <v/>
      </c>
    </row>
    <row r="786" spans="1:28" s="264" customFormat="1" ht="20.399999999999999">
      <c r="A786" s="207"/>
      <c r="B786" s="208"/>
      <c r="C786" s="212"/>
      <c r="D786" s="270"/>
      <c r="E786" s="208"/>
      <c r="F786" s="208"/>
      <c r="G786" s="208"/>
      <c r="H786" s="209"/>
      <c r="I786" s="210"/>
      <c r="J786" s="210"/>
      <c r="K786" s="260"/>
      <c r="L786" s="260"/>
      <c r="M786" s="260"/>
      <c r="N786" s="260"/>
      <c r="O786" s="260"/>
      <c r="P786" s="211"/>
      <c r="Q786" s="261"/>
      <c r="R786" s="208" t="str">
        <f ca="1">IF(ISERROR($V786),"",OFFSET('Smelter Look-up'!$C$4,$V786-4,0)&amp;"")</f>
        <v/>
      </c>
      <c r="S786" s="215" t="str">
        <f t="shared" ca="1" si="111"/>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si="112"/>
        <v>0</v>
      </c>
      <c r="Y786" s="263"/>
      <c r="Z786" s="263"/>
      <c r="AB786" s="265" t="str">
        <f t="shared" si="113"/>
        <v/>
      </c>
    </row>
    <row r="787" spans="1:28" s="264" customFormat="1" ht="20.399999999999999">
      <c r="A787" s="207"/>
      <c r="B787" s="208"/>
      <c r="C787" s="212"/>
      <c r="D787" s="270"/>
      <c r="E787" s="208"/>
      <c r="F787" s="208"/>
      <c r="G787" s="208"/>
      <c r="H787" s="209"/>
      <c r="I787" s="210"/>
      <c r="J787" s="210"/>
      <c r="K787" s="260"/>
      <c r="L787" s="260"/>
      <c r="M787" s="260"/>
      <c r="N787" s="260"/>
      <c r="O787" s="260"/>
      <c r="P787" s="211"/>
      <c r="Q787" s="261"/>
      <c r="R787" s="208" t="str">
        <f ca="1">IF(ISERROR($V787),"",OFFSET('Smelter Look-up'!$C$4,$V787-4,0)&amp;"")</f>
        <v/>
      </c>
      <c r="S787" s="215" t="str">
        <f t="shared" ca="1" si="111"/>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si="112"/>
        <v>0</v>
      </c>
      <c r="Y787" s="263"/>
      <c r="Z787" s="263"/>
      <c r="AB787" s="265" t="str">
        <f t="shared" si="113"/>
        <v/>
      </c>
    </row>
    <row r="788" spans="1:28" s="264" customFormat="1" ht="20.399999999999999">
      <c r="A788" s="207"/>
      <c r="B788" s="208"/>
      <c r="C788" s="212"/>
      <c r="D788" s="270"/>
      <c r="E788" s="208"/>
      <c r="F788" s="208"/>
      <c r="G788" s="208"/>
      <c r="H788" s="209"/>
      <c r="I788" s="210"/>
      <c r="J788" s="210"/>
      <c r="K788" s="260"/>
      <c r="L788" s="260"/>
      <c r="M788" s="260"/>
      <c r="N788" s="260"/>
      <c r="O788" s="260"/>
      <c r="P788" s="211"/>
      <c r="Q788" s="261"/>
      <c r="R788" s="208" t="str">
        <f ca="1">IF(ISERROR($V788),"",OFFSET('Smelter Look-up'!$C$4,$V788-4,0)&amp;"")</f>
        <v/>
      </c>
      <c r="S788" s="215" t="str">
        <f t="shared" ca="1" si="111"/>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si="112"/>
        <v>0</v>
      </c>
      <c r="Y788" s="263"/>
      <c r="Z788" s="263"/>
      <c r="AB788" s="265" t="str">
        <f t="shared" si="113"/>
        <v/>
      </c>
    </row>
    <row r="789" spans="1:28" s="264" customFormat="1" ht="20.399999999999999">
      <c r="A789" s="207"/>
      <c r="B789" s="208"/>
      <c r="C789" s="212"/>
      <c r="D789" s="270"/>
      <c r="E789" s="208"/>
      <c r="F789" s="208"/>
      <c r="G789" s="208"/>
      <c r="H789" s="209"/>
      <c r="I789" s="210"/>
      <c r="J789" s="210"/>
      <c r="K789" s="260"/>
      <c r="L789" s="260"/>
      <c r="M789" s="260"/>
      <c r="N789" s="260"/>
      <c r="O789" s="260"/>
      <c r="P789" s="211"/>
      <c r="Q789" s="261"/>
      <c r="R789" s="208" t="str">
        <f ca="1">IF(ISERROR($V789),"",OFFSET('Smelter Look-up'!$C$4,$V789-4,0)&amp;"")</f>
        <v/>
      </c>
      <c r="S789" s="215" t="str">
        <f t="shared" ca="1" si="111"/>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si="112"/>
        <v>0</v>
      </c>
      <c r="Y789" s="263"/>
      <c r="Z789" s="263"/>
      <c r="AB789" s="265" t="str">
        <f t="shared" si="113"/>
        <v/>
      </c>
    </row>
    <row r="790" spans="1:28" s="264" customFormat="1" ht="20.399999999999999">
      <c r="A790" s="207"/>
      <c r="B790" s="208"/>
      <c r="C790" s="212"/>
      <c r="D790" s="270"/>
      <c r="E790" s="208"/>
      <c r="F790" s="208"/>
      <c r="G790" s="208"/>
      <c r="H790" s="209"/>
      <c r="I790" s="210"/>
      <c r="J790" s="210"/>
      <c r="K790" s="260"/>
      <c r="L790" s="260"/>
      <c r="M790" s="260"/>
      <c r="N790" s="260"/>
      <c r="O790" s="260"/>
      <c r="P790" s="211"/>
      <c r="Q790" s="261"/>
      <c r="R790" s="208" t="str">
        <f ca="1">IF(ISERROR($V790),"",OFFSET('Smelter Look-up'!$C$4,$V790-4,0)&amp;"")</f>
        <v/>
      </c>
      <c r="S790" s="215" t="str">
        <f t="shared" ca="1" si="111"/>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si="112"/>
        <v>0</v>
      </c>
      <c r="Y790" s="263"/>
      <c r="Z790" s="263"/>
      <c r="AB790" s="265" t="str">
        <f t="shared" si="113"/>
        <v/>
      </c>
    </row>
    <row r="791" spans="1:28" s="264" customFormat="1" ht="20.399999999999999">
      <c r="A791" s="207"/>
      <c r="B791" s="208"/>
      <c r="C791" s="212"/>
      <c r="D791" s="270"/>
      <c r="E791" s="208"/>
      <c r="F791" s="208"/>
      <c r="G791" s="208"/>
      <c r="H791" s="209"/>
      <c r="I791" s="210"/>
      <c r="J791" s="210"/>
      <c r="K791" s="260"/>
      <c r="L791" s="260"/>
      <c r="M791" s="260"/>
      <c r="N791" s="260"/>
      <c r="O791" s="260"/>
      <c r="P791" s="211"/>
      <c r="Q791" s="261"/>
      <c r="R791" s="208" t="str">
        <f ca="1">IF(ISERROR($V791),"",OFFSET('Smelter Look-up'!$C$4,$V791-4,0)&amp;"")</f>
        <v/>
      </c>
      <c r="S791" s="215" t="str">
        <f t="shared" ca="1" si="111"/>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si="112"/>
        <v>0</v>
      </c>
      <c r="Y791" s="263"/>
      <c r="Z791" s="263"/>
      <c r="AB791" s="265" t="str">
        <f t="shared" si="113"/>
        <v/>
      </c>
    </row>
    <row r="792" spans="1:28" s="264" customFormat="1" ht="20.399999999999999">
      <c r="A792" s="207"/>
      <c r="B792" s="208"/>
      <c r="C792" s="212"/>
      <c r="D792" s="270"/>
      <c r="E792" s="208"/>
      <c r="F792" s="208"/>
      <c r="G792" s="208"/>
      <c r="H792" s="209"/>
      <c r="I792" s="210"/>
      <c r="J792" s="210"/>
      <c r="K792" s="260"/>
      <c r="L792" s="260"/>
      <c r="M792" s="260"/>
      <c r="N792" s="260"/>
      <c r="O792" s="260"/>
      <c r="P792" s="211"/>
      <c r="Q792" s="261"/>
      <c r="R792" s="208" t="str">
        <f ca="1">IF(ISERROR($V792),"",OFFSET('Smelter Look-up'!$C$4,$V792-4,0)&amp;"")</f>
        <v/>
      </c>
      <c r="S792" s="215" t="str">
        <f t="shared" ca="1" si="111"/>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si="112"/>
        <v>0</v>
      </c>
      <c r="Y792" s="263"/>
      <c r="Z792" s="263"/>
      <c r="AB792" s="265" t="str">
        <f t="shared" si="113"/>
        <v/>
      </c>
    </row>
    <row r="793" spans="1:28" s="264" customFormat="1" ht="20.399999999999999">
      <c r="A793" s="207"/>
      <c r="B793" s="208"/>
      <c r="C793" s="212"/>
      <c r="D793" s="270"/>
      <c r="E793" s="208"/>
      <c r="F793" s="208"/>
      <c r="G793" s="208"/>
      <c r="H793" s="209"/>
      <c r="I793" s="210"/>
      <c r="J793" s="210"/>
      <c r="K793" s="260"/>
      <c r="L793" s="260"/>
      <c r="M793" s="260"/>
      <c r="N793" s="260"/>
      <c r="O793" s="260"/>
      <c r="P793" s="211"/>
      <c r="Q793" s="261"/>
      <c r="R793" s="208" t="str">
        <f ca="1">IF(ISERROR($V793),"",OFFSET('Smelter Look-up'!$C$4,$V793-4,0)&amp;"")</f>
        <v/>
      </c>
      <c r="S793" s="215" t="str">
        <f t="shared" ca="1" si="111"/>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si="112"/>
        <v>0</v>
      </c>
      <c r="Y793" s="263"/>
      <c r="Z793" s="263"/>
      <c r="AB793" s="265" t="str">
        <f t="shared" si="113"/>
        <v/>
      </c>
    </row>
    <row r="794" spans="1:28" s="264" customFormat="1" ht="20.399999999999999">
      <c r="A794" s="207"/>
      <c r="B794" s="208"/>
      <c r="C794" s="212"/>
      <c r="D794" s="270"/>
      <c r="E794" s="208"/>
      <c r="F794" s="208"/>
      <c r="G794" s="208"/>
      <c r="H794" s="209"/>
      <c r="I794" s="210"/>
      <c r="J794" s="210"/>
      <c r="K794" s="260"/>
      <c r="L794" s="260"/>
      <c r="M794" s="260"/>
      <c r="N794" s="260"/>
      <c r="O794" s="260"/>
      <c r="P794" s="211"/>
      <c r="Q794" s="261"/>
      <c r="R794" s="208" t="str">
        <f ca="1">IF(ISERROR($V794),"",OFFSET('Smelter Look-up'!$C$4,$V794-4,0)&amp;"")</f>
        <v/>
      </c>
      <c r="S794" s="215" t="str">
        <f t="shared" ca="1" si="111"/>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si="112"/>
        <v>0</v>
      </c>
      <c r="Y794" s="263"/>
      <c r="Z794" s="263"/>
      <c r="AB794" s="265" t="str">
        <f t="shared" si="113"/>
        <v/>
      </c>
    </row>
    <row r="795" spans="1:28" s="264" customFormat="1" ht="20.399999999999999">
      <c r="A795" s="207"/>
      <c r="B795" s="208"/>
      <c r="C795" s="212"/>
      <c r="D795" s="270"/>
      <c r="E795" s="208"/>
      <c r="F795" s="208"/>
      <c r="G795" s="208"/>
      <c r="H795" s="209"/>
      <c r="I795" s="210"/>
      <c r="J795" s="210"/>
      <c r="K795" s="260"/>
      <c r="L795" s="260"/>
      <c r="M795" s="260"/>
      <c r="N795" s="260"/>
      <c r="O795" s="260"/>
      <c r="P795" s="211"/>
      <c r="Q795" s="261"/>
      <c r="R795" s="208" t="str">
        <f ca="1">IF(ISERROR($V795),"",OFFSET('Smelter Look-up'!$C$4,$V795-4,0)&amp;"")</f>
        <v/>
      </c>
      <c r="S795" s="215" t="str">
        <f t="shared" ca="1" si="111"/>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si="112"/>
        <v>0</v>
      </c>
      <c r="Y795" s="263"/>
      <c r="Z795" s="263"/>
      <c r="AB795" s="265" t="str">
        <f t="shared" si="113"/>
        <v/>
      </c>
    </row>
    <row r="796" spans="1:28" s="264" customFormat="1" ht="20.399999999999999">
      <c r="A796" s="207"/>
      <c r="B796" s="208"/>
      <c r="C796" s="212"/>
      <c r="D796" s="270"/>
      <c r="E796" s="208"/>
      <c r="F796" s="208"/>
      <c r="G796" s="208"/>
      <c r="H796" s="209"/>
      <c r="I796" s="210"/>
      <c r="J796" s="210"/>
      <c r="K796" s="260"/>
      <c r="L796" s="260"/>
      <c r="M796" s="260"/>
      <c r="N796" s="260"/>
      <c r="O796" s="260"/>
      <c r="P796" s="211"/>
      <c r="Q796" s="261"/>
      <c r="R796" s="208" t="str">
        <f ca="1">IF(ISERROR($V796),"",OFFSET('Smelter Look-up'!$C$4,$V796-4,0)&amp;"")</f>
        <v/>
      </c>
      <c r="S796" s="215" t="str">
        <f t="shared" ref="S796:S826" ca="1" si="114">IF(B796="","",IF(ISERROR(MATCH($E796,CL,0)),"Unknown",INDIRECT("'C'!$A$"&amp;MATCH($E796,CL,0)+1)))</f>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ref="X796:X826" si="115">IF(AND(C796="Smelter not listed",OR(LEN(D796)=0,LEN(E796)=0)),1,0)</f>
        <v>0</v>
      </c>
      <c r="Y796" s="263"/>
      <c r="Z796" s="263"/>
      <c r="AB796" s="265" t="str">
        <f t="shared" ref="AB796:AB826" si="116">B796&amp;C796</f>
        <v/>
      </c>
    </row>
    <row r="797" spans="1:28" s="264" customFormat="1" ht="20.399999999999999">
      <c r="A797" s="207"/>
      <c r="B797" s="208"/>
      <c r="C797" s="212"/>
      <c r="D797" s="270"/>
      <c r="E797" s="208"/>
      <c r="F797" s="208"/>
      <c r="G797" s="208"/>
      <c r="H797" s="209"/>
      <c r="I797" s="210"/>
      <c r="J797" s="210"/>
      <c r="K797" s="260"/>
      <c r="L797" s="260"/>
      <c r="M797" s="260"/>
      <c r="N797" s="260"/>
      <c r="O797" s="260"/>
      <c r="P797" s="211"/>
      <c r="Q797" s="261"/>
      <c r="R797" s="208" t="str">
        <f ca="1">IF(ISERROR($V797),"",OFFSET('Smelter Look-up'!$C$4,$V797-4,0)&amp;"")</f>
        <v/>
      </c>
      <c r="S797" s="215" t="str">
        <f t="shared" ca="1" si="114"/>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si="115"/>
        <v>0</v>
      </c>
      <c r="Y797" s="263"/>
      <c r="Z797" s="263"/>
      <c r="AB797" s="265" t="str">
        <f t="shared" si="116"/>
        <v/>
      </c>
    </row>
    <row r="798" spans="1:28" s="264" customFormat="1" ht="20.399999999999999">
      <c r="A798" s="207"/>
      <c r="B798" s="208"/>
      <c r="C798" s="212"/>
      <c r="D798" s="270"/>
      <c r="E798" s="208"/>
      <c r="F798" s="208"/>
      <c r="G798" s="208"/>
      <c r="H798" s="209"/>
      <c r="I798" s="210"/>
      <c r="J798" s="210"/>
      <c r="K798" s="260"/>
      <c r="L798" s="260"/>
      <c r="M798" s="260"/>
      <c r="N798" s="260"/>
      <c r="O798" s="260"/>
      <c r="P798" s="211"/>
      <c r="Q798" s="261"/>
      <c r="R798" s="208" t="str">
        <f ca="1">IF(ISERROR($V798),"",OFFSET('Smelter Look-up'!$C$4,$V798-4,0)&amp;"")</f>
        <v/>
      </c>
      <c r="S798" s="215" t="str">
        <f t="shared" ca="1" si="114"/>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si="115"/>
        <v>0</v>
      </c>
      <c r="Y798" s="263"/>
      <c r="Z798" s="263"/>
      <c r="AB798" s="265" t="str">
        <f t="shared" si="116"/>
        <v/>
      </c>
    </row>
    <row r="799" spans="1:28" s="264" customFormat="1" ht="20.399999999999999">
      <c r="A799" s="207"/>
      <c r="B799" s="208"/>
      <c r="C799" s="212"/>
      <c r="D799" s="270"/>
      <c r="E799" s="208"/>
      <c r="F799" s="208"/>
      <c r="G799" s="208"/>
      <c r="H799" s="209"/>
      <c r="I799" s="210"/>
      <c r="J799" s="210"/>
      <c r="K799" s="260"/>
      <c r="L799" s="260"/>
      <c r="M799" s="260"/>
      <c r="N799" s="260"/>
      <c r="O799" s="260"/>
      <c r="P799" s="211"/>
      <c r="Q799" s="261"/>
      <c r="R799" s="208" t="str">
        <f ca="1">IF(ISERROR($V799),"",OFFSET('Smelter Look-up'!$C$4,$V799-4,0)&amp;"")</f>
        <v/>
      </c>
      <c r="S799" s="215" t="str">
        <f t="shared" ca="1" si="114"/>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si="115"/>
        <v>0</v>
      </c>
      <c r="Y799" s="263"/>
      <c r="Z799" s="263"/>
      <c r="AB799" s="265" t="str">
        <f t="shared" si="116"/>
        <v/>
      </c>
    </row>
    <row r="800" spans="1:28" s="264" customFormat="1" ht="20.399999999999999">
      <c r="A800" s="207"/>
      <c r="B800" s="208"/>
      <c r="C800" s="212"/>
      <c r="D800" s="270"/>
      <c r="E800" s="208"/>
      <c r="F800" s="208"/>
      <c r="G800" s="208"/>
      <c r="H800" s="209"/>
      <c r="I800" s="210"/>
      <c r="J800" s="210"/>
      <c r="K800" s="260"/>
      <c r="L800" s="260"/>
      <c r="M800" s="260"/>
      <c r="N800" s="260"/>
      <c r="O800" s="260"/>
      <c r="P800" s="211"/>
      <c r="Q800" s="261"/>
      <c r="R800" s="208" t="str">
        <f ca="1">IF(ISERROR($V800),"",OFFSET('Smelter Look-up'!$C$4,$V800-4,0)&amp;"")</f>
        <v/>
      </c>
      <c r="S800" s="215" t="str">
        <f t="shared" ca="1" si="114"/>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si="115"/>
        <v>0</v>
      </c>
      <c r="Y800" s="263"/>
      <c r="Z800" s="263"/>
      <c r="AB800" s="265" t="str">
        <f t="shared" si="116"/>
        <v/>
      </c>
    </row>
    <row r="801" spans="1:28" s="264" customFormat="1" ht="20.399999999999999">
      <c r="A801" s="207"/>
      <c r="B801" s="208"/>
      <c r="C801" s="212"/>
      <c r="D801" s="270"/>
      <c r="E801" s="208"/>
      <c r="F801" s="208"/>
      <c r="G801" s="208"/>
      <c r="H801" s="209"/>
      <c r="I801" s="210"/>
      <c r="J801" s="210"/>
      <c r="K801" s="260"/>
      <c r="L801" s="260"/>
      <c r="M801" s="260"/>
      <c r="N801" s="260"/>
      <c r="O801" s="260"/>
      <c r="P801" s="211"/>
      <c r="Q801" s="261"/>
      <c r="R801" s="208" t="str">
        <f ca="1">IF(ISERROR($V801),"",OFFSET('Smelter Look-up'!$C$4,$V801-4,0)&amp;"")</f>
        <v/>
      </c>
      <c r="S801" s="215" t="str">
        <f t="shared" ca="1" si="114"/>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si="115"/>
        <v>0</v>
      </c>
      <c r="Y801" s="263"/>
      <c r="Z801" s="263"/>
      <c r="AB801" s="265" t="str">
        <f t="shared" si="116"/>
        <v/>
      </c>
    </row>
    <row r="802" spans="1:28" s="264" customFormat="1" ht="20.399999999999999">
      <c r="A802" s="207"/>
      <c r="B802" s="208"/>
      <c r="C802" s="212"/>
      <c r="D802" s="270"/>
      <c r="E802" s="208"/>
      <c r="F802" s="208"/>
      <c r="G802" s="208"/>
      <c r="H802" s="209"/>
      <c r="I802" s="210"/>
      <c r="J802" s="210"/>
      <c r="K802" s="260"/>
      <c r="L802" s="260"/>
      <c r="M802" s="260"/>
      <c r="N802" s="260"/>
      <c r="O802" s="260"/>
      <c r="P802" s="211"/>
      <c r="Q802" s="261"/>
      <c r="R802" s="208" t="str">
        <f ca="1">IF(ISERROR($V802),"",OFFSET('Smelter Look-up'!$C$4,$V802-4,0)&amp;"")</f>
        <v/>
      </c>
      <c r="S802" s="215" t="str">
        <f t="shared" ca="1" si="114"/>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si="115"/>
        <v>0</v>
      </c>
      <c r="Y802" s="263"/>
      <c r="Z802" s="263"/>
      <c r="AB802" s="265" t="str">
        <f t="shared" si="116"/>
        <v/>
      </c>
    </row>
    <row r="803" spans="1:28" s="264" customFormat="1" ht="20.399999999999999">
      <c r="A803" s="207"/>
      <c r="B803" s="208"/>
      <c r="C803" s="212"/>
      <c r="D803" s="270"/>
      <c r="E803" s="208"/>
      <c r="F803" s="208"/>
      <c r="G803" s="208"/>
      <c r="H803" s="209"/>
      <c r="I803" s="210"/>
      <c r="J803" s="210"/>
      <c r="K803" s="260"/>
      <c r="L803" s="260"/>
      <c r="M803" s="260"/>
      <c r="N803" s="260"/>
      <c r="O803" s="260"/>
      <c r="P803" s="211"/>
      <c r="Q803" s="261"/>
      <c r="R803" s="208" t="str">
        <f ca="1">IF(ISERROR($V803),"",OFFSET('Smelter Look-up'!$C$4,$V803-4,0)&amp;"")</f>
        <v/>
      </c>
      <c r="S803" s="215" t="str">
        <f t="shared" ca="1" si="114"/>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si="115"/>
        <v>0</v>
      </c>
      <c r="Y803" s="263"/>
      <c r="Z803" s="263"/>
      <c r="AB803" s="265" t="str">
        <f t="shared" si="116"/>
        <v/>
      </c>
    </row>
    <row r="804" spans="1:28" s="264" customFormat="1" ht="20.399999999999999">
      <c r="A804" s="207"/>
      <c r="B804" s="208"/>
      <c r="C804" s="212"/>
      <c r="D804" s="270"/>
      <c r="E804" s="208"/>
      <c r="F804" s="208"/>
      <c r="G804" s="208"/>
      <c r="H804" s="209"/>
      <c r="I804" s="210"/>
      <c r="J804" s="210"/>
      <c r="K804" s="260"/>
      <c r="L804" s="260"/>
      <c r="M804" s="260"/>
      <c r="N804" s="260"/>
      <c r="O804" s="260"/>
      <c r="P804" s="211"/>
      <c r="Q804" s="261"/>
      <c r="R804" s="208" t="str">
        <f ca="1">IF(ISERROR($V804),"",OFFSET('Smelter Look-up'!$C$4,$V804-4,0)&amp;"")</f>
        <v/>
      </c>
      <c r="S804" s="215" t="str">
        <f t="shared" ca="1" si="114"/>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si="115"/>
        <v>0</v>
      </c>
      <c r="Y804" s="263"/>
      <c r="Z804" s="263"/>
      <c r="AB804" s="265" t="str">
        <f t="shared" si="116"/>
        <v/>
      </c>
    </row>
    <row r="805" spans="1:28" s="264" customFormat="1" ht="20.399999999999999">
      <c r="A805" s="207"/>
      <c r="B805" s="208"/>
      <c r="C805" s="212"/>
      <c r="D805" s="270"/>
      <c r="E805" s="208"/>
      <c r="F805" s="208"/>
      <c r="G805" s="208"/>
      <c r="H805" s="209"/>
      <c r="I805" s="210"/>
      <c r="J805" s="210"/>
      <c r="K805" s="260"/>
      <c r="L805" s="260"/>
      <c r="M805" s="260"/>
      <c r="N805" s="260"/>
      <c r="O805" s="260"/>
      <c r="P805" s="211"/>
      <c r="Q805" s="261"/>
      <c r="R805" s="208" t="str">
        <f ca="1">IF(ISERROR($V805),"",OFFSET('Smelter Look-up'!$C$4,$V805-4,0)&amp;"")</f>
        <v/>
      </c>
      <c r="S805" s="215" t="str">
        <f t="shared" ca="1" si="114"/>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si="115"/>
        <v>0</v>
      </c>
      <c r="Y805" s="263"/>
      <c r="Z805" s="263"/>
      <c r="AB805" s="265" t="str">
        <f t="shared" si="116"/>
        <v/>
      </c>
    </row>
    <row r="806" spans="1:28" s="264" customFormat="1" ht="20.399999999999999">
      <c r="A806" s="207"/>
      <c r="B806" s="208"/>
      <c r="C806" s="212"/>
      <c r="D806" s="270"/>
      <c r="E806" s="208"/>
      <c r="F806" s="208"/>
      <c r="G806" s="208"/>
      <c r="H806" s="209"/>
      <c r="I806" s="210"/>
      <c r="J806" s="210"/>
      <c r="K806" s="260"/>
      <c r="L806" s="260"/>
      <c r="M806" s="260"/>
      <c r="N806" s="260"/>
      <c r="O806" s="260"/>
      <c r="P806" s="211"/>
      <c r="Q806" s="261"/>
      <c r="R806" s="208" t="str">
        <f ca="1">IF(ISERROR($V806),"",OFFSET('Smelter Look-up'!$C$4,$V806-4,0)&amp;"")</f>
        <v/>
      </c>
      <c r="S806" s="215" t="str">
        <f t="shared" ca="1" si="114"/>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si="115"/>
        <v>0</v>
      </c>
      <c r="Y806" s="263"/>
      <c r="Z806" s="263"/>
      <c r="AB806" s="265" t="str">
        <f t="shared" si="116"/>
        <v/>
      </c>
    </row>
    <row r="807" spans="1:28" s="264" customFormat="1" ht="20.399999999999999">
      <c r="A807" s="207"/>
      <c r="B807" s="208"/>
      <c r="C807" s="212"/>
      <c r="D807" s="270"/>
      <c r="E807" s="208"/>
      <c r="F807" s="208"/>
      <c r="G807" s="208"/>
      <c r="H807" s="209"/>
      <c r="I807" s="210"/>
      <c r="J807" s="210"/>
      <c r="K807" s="260"/>
      <c r="L807" s="260"/>
      <c r="M807" s="260"/>
      <c r="N807" s="260"/>
      <c r="O807" s="260"/>
      <c r="P807" s="211"/>
      <c r="Q807" s="261"/>
      <c r="R807" s="208" t="str">
        <f ca="1">IF(ISERROR($V807),"",OFFSET('Smelter Look-up'!$C$4,$V807-4,0)&amp;"")</f>
        <v/>
      </c>
      <c r="S807" s="215" t="str">
        <f t="shared" ca="1" si="114"/>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si="115"/>
        <v>0</v>
      </c>
      <c r="Y807" s="263"/>
      <c r="Z807" s="263"/>
      <c r="AB807" s="265" t="str">
        <f t="shared" si="116"/>
        <v/>
      </c>
    </row>
    <row r="808" spans="1:28" s="264" customFormat="1" ht="20.399999999999999">
      <c r="A808" s="207"/>
      <c r="B808" s="208"/>
      <c r="C808" s="212"/>
      <c r="D808" s="270"/>
      <c r="E808" s="208"/>
      <c r="F808" s="208"/>
      <c r="G808" s="208"/>
      <c r="H808" s="209"/>
      <c r="I808" s="210"/>
      <c r="J808" s="210"/>
      <c r="K808" s="260"/>
      <c r="L808" s="260"/>
      <c r="M808" s="260"/>
      <c r="N808" s="260"/>
      <c r="O808" s="260"/>
      <c r="P808" s="211"/>
      <c r="Q808" s="261"/>
      <c r="R808" s="208" t="str">
        <f ca="1">IF(ISERROR($V808),"",OFFSET('Smelter Look-up'!$C$4,$V808-4,0)&amp;"")</f>
        <v/>
      </c>
      <c r="S808" s="215" t="str">
        <f t="shared" ca="1" si="114"/>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si="115"/>
        <v>0</v>
      </c>
      <c r="Y808" s="263"/>
      <c r="Z808" s="263"/>
      <c r="AB808" s="265" t="str">
        <f t="shared" si="116"/>
        <v/>
      </c>
    </row>
    <row r="809" spans="1:28" s="264" customFormat="1" ht="20.399999999999999">
      <c r="A809" s="207"/>
      <c r="B809" s="208"/>
      <c r="C809" s="212"/>
      <c r="D809" s="270"/>
      <c r="E809" s="208"/>
      <c r="F809" s="208"/>
      <c r="G809" s="208"/>
      <c r="H809" s="209"/>
      <c r="I809" s="210"/>
      <c r="J809" s="210"/>
      <c r="K809" s="260"/>
      <c r="L809" s="260"/>
      <c r="M809" s="260"/>
      <c r="N809" s="260"/>
      <c r="O809" s="260"/>
      <c r="P809" s="211"/>
      <c r="Q809" s="261"/>
      <c r="R809" s="208" t="str">
        <f ca="1">IF(ISERROR($V809),"",OFFSET('Smelter Look-up'!$C$4,$V809-4,0)&amp;"")</f>
        <v/>
      </c>
      <c r="S809" s="215" t="str">
        <f t="shared" ca="1" si="114"/>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si="115"/>
        <v>0</v>
      </c>
      <c r="Y809" s="263"/>
      <c r="Z809" s="263"/>
      <c r="AB809" s="265" t="str">
        <f t="shared" si="116"/>
        <v/>
      </c>
    </row>
    <row r="810" spans="1:28" s="264" customFormat="1" ht="20.399999999999999">
      <c r="A810" s="207"/>
      <c r="B810" s="208"/>
      <c r="C810" s="212"/>
      <c r="D810" s="270"/>
      <c r="E810" s="208"/>
      <c r="F810" s="208"/>
      <c r="G810" s="208"/>
      <c r="H810" s="209"/>
      <c r="I810" s="210"/>
      <c r="J810" s="210"/>
      <c r="K810" s="260"/>
      <c r="L810" s="260"/>
      <c r="M810" s="260"/>
      <c r="N810" s="260"/>
      <c r="O810" s="260"/>
      <c r="P810" s="211"/>
      <c r="Q810" s="261"/>
      <c r="R810" s="208" t="str">
        <f ca="1">IF(ISERROR($V810),"",OFFSET('Smelter Look-up'!$C$4,$V810-4,0)&amp;"")</f>
        <v/>
      </c>
      <c r="S810" s="215" t="str">
        <f t="shared" ca="1" si="114"/>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si="115"/>
        <v>0</v>
      </c>
      <c r="Y810" s="263"/>
      <c r="Z810" s="263"/>
      <c r="AB810" s="265" t="str">
        <f t="shared" si="116"/>
        <v/>
      </c>
    </row>
    <row r="811" spans="1:28" s="264" customFormat="1" ht="20.399999999999999">
      <c r="A811" s="207"/>
      <c r="B811" s="208"/>
      <c r="C811" s="212"/>
      <c r="D811" s="270"/>
      <c r="E811" s="208"/>
      <c r="F811" s="208"/>
      <c r="G811" s="208"/>
      <c r="H811" s="209"/>
      <c r="I811" s="210"/>
      <c r="J811" s="210"/>
      <c r="K811" s="260"/>
      <c r="L811" s="260"/>
      <c r="M811" s="260"/>
      <c r="N811" s="260"/>
      <c r="O811" s="260"/>
      <c r="P811" s="211"/>
      <c r="Q811" s="261"/>
      <c r="R811" s="208" t="str">
        <f ca="1">IF(ISERROR($V811),"",OFFSET('Smelter Look-up'!$C$4,$V811-4,0)&amp;"")</f>
        <v/>
      </c>
      <c r="S811" s="215" t="str">
        <f t="shared" ca="1" si="114"/>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si="115"/>
        <v>0</v>
      </c>
      <c r="Y811" s="263"/>
      <c r="Z811" s="263"/>
      <c r="AB811" s="265" t="str">
        <f t="shared" si="116"/>
        <v/>
      </c>
    </row>
    <row r="812" spans="1:28" s="264" customFormat="1" ht="20.399999999999999">
      <c r="A812" s="207"/>
      <c r="B812" s="208"/>
      <c r="C812" s="212"/>
      <c r="D812" s="270"/>
      <c r="E812" s="208"/>
      <c r="F812" s="208"/>
      <c r="G812" s="208"/>
      <c r="H812" s="209"/>
      <c r="I812" s="210"/>
      <c r="J812" s="210"/>
      <c r="K812" s="260"/>
      <c r="L812" s="260"/>
      <c r="M812" s="260"/>
      <c r="N812" s="260"/>
      <c r="O812" s="260"/>
      <c r="P812" s="211"/>
      <c r="Q812" s="261"/>
      <c r="R812" s="208" t="str">
        <f ca="1">IF(ISERROR($V812),"",OFFSET('Smelter Look-up'!$C$4,$V812-4,0)&amp;"")</f>
        <v/>
      </c>
      <c r="S812" s="215" t="str">
        <f t="shared" ca="1" si="114"/>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si="115"/>
        <v>0</v>
      </c>
      <c r="Y812" s="263"/>
      <c r="Z812" s="263"/>
      <c r="AB812" s="265" t="str">
        <f t="shared" si="116"/>
        <v/>
      </c>
    </row>
    <row r="813" spans="1:28" s="264" customFormat="1" ht="20.399999999999999">
      <c r="A813" s="207"/>
      <c r="B813" s="208"/>
      <c r="C813" s="212"/>
      <c r="D813" s="270"/>
      <c r="E813" s="208"/>
      <c r="F813" s="208"/>
      <c r="G813" s="208"/>
      <c r="H813" s="209"/>
      <c r="I813" s="210"/>
      <c r="J813" s="210"/>
      <c r="K813" s="260"/>
      <c r="L813" s="260"/>
      <c r="M813" s="260"/>
      <c r="N813" s="260"/>
      <c r="O813" s="260"/>
      <c r="P813" s="211"/>
      <c r="Q813" s="261"/>
      <c r="R813" s="208" t="str">
        <f ca="1">IF(ISERROR($V813),"",OFFSET('Smelter Look-up'!$C$4,$V813-4,0)&amp;"")</f>
        <v/>
      </c>
      <c r="S813" s="215" t="str">
        <f t="shared" ca="1" si="114"/>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si="115"/>
        <v>0</v>
      </c>
      <c r="Y813" s="263"/>
      <c r="Z813" s="263"/>
      <c r="AB813" s="265" t="str">
        <f t="shared" si="116"/>
        <v/>
      </c>
    </row>
    <row r="814" spans="1:28" s="264" customFormat="1" ht="20.399999999999999">
      <c r="A814" s="207"/>
      <c r="B814" s="208"/>
      <c r="C814" s="212"/>
      <c r="D814" s="270"/>
      <c r="E814" s="208"/>
      <c r="F814" s="208"/>
      <c r="G814" s="208"/>
      <c r="H814" s="209"/>
      <c r="I814" s="210"/>
      <c r="J814" s="210"/>
      <c r="K814" s="260"/>
      <c r="L814" s="260"/>
      <c r="M814" s="260"/>
      <c r="N814" s="260"/>
      <c r="O814" s="260"/>
      <c r="P814" s="211"/>
      <c r="Q814" s="261"/>
      <c r="R814" s="208" t="str">
        <f ca="1">IF(ISERROR($V814),"",OFFSET('Smelter Look-up'!$C$4,$V814-4,0)&amp;"")</f>
        <v/>
      </c>
      <c r="S814" s="215" t="str">
        <f t="shared" ca="1" si="114"/>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si="115"/>
        <v>0</v>
      </c>
      <c r="Y814" s="263"/>
      <c r="Z814" s="263"/>
      <c r="AB814" s="265" t="str">
        <f t="shared" si="116"/>
        <v/>
      </c>
    </row>
    <row r="815" spans="1:28" s="264" customFormat="1" ht="20.399999999999999">
      <c r="A815" s="207"/>
      <c r="B815" s="208"/>
      <c r="C815" s="212"/>
      <c r="D815" s="270"/>
      <c r="E815" s="208"/>
      <c r="F815" s="208"/>
      <c r="G815" s="208"/>
      <c r="H815" s="209"/>
      <c r="I815" s="210"/>
      <c r="J815" s="210"/>
      <c r="K815" s="260"/>
      <c r="L815" s="260"/>
      <c r="M815" s="260"/>
      <c r="N815" s="260"/>
      <c r="O815" s="260"/>
      <c r="P815" s="211"/>
      <c r="Q815" s="261"/>
      <c r="R815" s="208" t="str">
        <f ca="1">IF(ISERROR($V815),"",OFFSET('Smelter Look-up'!$C$4,$V815-4,0)&amp;"")</f>
        <v/>
      </c>
      <c r="S815" s="215" t="str">
        <f t="shared" ca="1" si="114"/>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si="115"/>
        <v>0</v>
      </c>
      <c r="Y815" s="263"/>
      <c r="Z815" s="263"/>
      <c r="AB815" s="265" t="str">
        <f t="shared" si="116"/>
        <v/>
      </c>
    </row>
    <row r="816" spans="1:28" s="264" customFormat="1" ht="20.399999999999999">
      <c r="A816" s="207"/>
      <c r="B816" s="208"/>
      <c r="C816" s="212"/>
      <c r="D816" s="270"/>
      <c r="E816" s="208"/>
      <c r="F816" s="208"/>
      <c r="G816" s="208"/>
      <c r="H816" s="209"/>
      <c r="I816" s="210"/>
      <c r="J816" s="210"/>
      <c r="K816" s="260"/>
      <c r="L816" s="260"/>
      <c r="M816" s="260"/>
      <c r="N816" s="260"/>
      <c r="O816" s="260"/>
      <c r="P816" s="211"/>
      <c r="Q816" s="261"/>
      <c r="R816" s="208" t="str">
        <f ca="1">IF(ISERROR($V816),"",OFFSET('Smelter Look-up'!$C$4,$V816-4,0)&amp;"")</f>
        <v/>
      </c>
      <c r="S816" s="215" t="str">
        <f t="shared" ca="1" si="114"/>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si="115"/>
        <v>0</v>
      </c>
      <c r="Y816" s="263"/>
      <c r="Z816" s="263"/>
      <c r="AB816" s="265" t="str">
        <f t="shared" si="116"/>
        <v/>
      </c>
    </row>
    <row r="817" spans="1:28" s="264" customFormat="1" ht="20.399999999999999">
      <c r="A817" s="207"/>
      <c r="B817" s="208"/>
      <c r="C817" s="212"/>
      <c r="D817" s="270"/>
      <c r="E817" s="208"/>
      <c r="F817" s="208"/>
      <c r="G817" s="208"/>
      <c r="H817" s="209"/>
      <c r="I817" s="210"/>
      <c r="J817" s="210"/>
      <c r="K817" s="260"/>
      <c r="L817" s="260"/>
      <c r="M817" s="260"/>
      <c r="N817" s="260"/>
      <c r="O817" s="260"/>
      <c r="P817" s="211"/>
      <c r="Q817" s="261"/>
      <c r="R817" s="208" t="str">
        <f ca="1">IF(ISERROR($V817),"",OFFSET('Smelter Look-up'!$C$4,$V817-4,0)&amp;"")</f>
        <v/>
      </c>
      <c r="S817" s="215" t="str">
        <f t="shared" ca="1" si="114"/>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si="115"/>
        <v>0</v>
      </c>
      <c r="Y817" s="263"/>
      <c r="Z817" s="263"/>
      <c r="AB817" s="265" t="str">
        <f t="shared" si="116"/>
        <v/>
      </c>
    </row>
    <row r="818" spans="1:28" s="264" customFormat="1" ht="20.399999999999999">
      <c r="A818" s="207"/>
      <c r="B818" s="208"/>
      <c r="C818" s="212"/>
      <c r="D818" s="270"/>
      <c r="E818" s="208"/>
      <c r="F818" s="208"/>
      <c r="G818" s="208"/>
      <c r="H818" s="209"/>
      <c r="I818" s="210"/>
      <c r="J818" s="210"/>
      <c r="K818" s="260"/>
      <c r="L818" s="260"/>
      <c r="M818" s="260"/>
      <c r="N818" s="260"/>
      <c r="O818" s="260"/>
      <c r="P818" s="211"/>
      <c r="Q818" s="261"/>
      <c r="R818" s="208" t="str">
        <f ca="1">IF(ISERROR($V818),"",OFFSET('Smelter Look-up'!$C$4,$V818-4,0)&amp;"")</f>
        <v/>
      </c>
      <c r="S818" s="215" t="str">
        <f t="shared" ca="1" si="114"/>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si="115"/>
        <v>0</v>
      </c>
      <c r="Y818" s="263"/>
      <c r="Z818" s="263"/>
      <c r="AB818" s="265" t="str">
        <f t="shared" si="116"/>
        <v/>
      </c>
    </row>
    <row r="819" spans="1:28" s="264" customFormat="1" ht="20.399999999999999">
      <c r="A819" s="207"/>
      <c r="B819" s="208"/>
      <c r="C819" s="212"/>
      <c r="D819" s="270"/>
      <c r="E819" s="208"/>
      <c r="F819" s="208"/>
      <c r="G819" s="208"/>
      <c r="H819" s="209"/>
      <c r="I819" s="210"/>
      <c r="J819" s="210"/>
      <c r="K819" s="260"/>
      <c r="L819" s="260"/>
      <c r="M819" s="260"/>
      <c r="N819" s="260"/>
      <c r="O819" s="260"/>
      <c r="P819" s="211"/>
      <c r="Q819" s="261"/>
      <c r="R819" s="208" t="str">
        <f ca="1">IF(ISERROR($V819),"",OFFSET('Smelter Look-up'!$C$4,$V819-4,0)&amp;"")</f>
        <v/>
      </c>
      <c r="S819" s="215" t="str">
        <f t="shared" ca="1" si="114"/>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si="115"/>
        <v>0</v>
      </c>
      <c r="Y819" s="263"/>
      <c r="Z819" s="263"/>
      <c r="AB819" s="265" t="str">
        <f t="shared" si="116"/>
        <v/>
      </c>
    </row>
    <row r="820" spans="1:28" s="264" customFormat="1" ht="20.399999999999999">
      <c r="A820" s="207"/>
      <c r="B820" s="208"/>
      <c r="C820" s="212"/>
      <c r="D820" s="270"/>
      <c r="E820" s="208"/>
      <c r="F820" s="208"/>
      <c r="G820" s="208"/>
      <c r="H820" s="209"/>
      <c r="I820" s="210"/>
      <c r="J820" s="210"/>
      <c r="K820" s="260"/>
      <c r="L820" s="260"/>
      <c r="M820" s="260"/>
      <c r="N820" s="260"/>
      <c r="O820" s="260"/>
      <c r="P820" s="211"/>
      <c r="Q820" s="261"/>
      <c r="R820" s="208" t="str">
        <f ca="1">IF(ISERROR($V820),"",OFFSET('Smelter Look-up'!$C$4,$V820-4,0)&amp;"")</f>
        <v/>
      </c>
      <c r="S820" s="215" t="str">
        <f t="shared" ca="1" si="114"/>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si="115"/>
        <v>0</v>
      </c>
      <c r="Y820" s="263"/>
      <c r="Z820" s="263"/>
      <c r="AB820" s="265" t="str">
        <f t="shared" si="116"/>
        <v/>
      </c>
    </row>
    <row r="821" spans="1:28" s="264" customFormat="1" ht="20.399999999999999">
      <c r="A821" s="207"/>
      <c r="B821" s="208"/>
      <c r="C821" s="212"/>
      <c r="D821" s="270"/>
      <c r="E821" s="208"/>
      <c r="F821" s="208"/>
      <c r="G821" s="208"/>
      <c r="H821" s="209"/>
      <c r="I821" s="210"/>
      <c r="J821" s="210"/>
      <c r="K821" s="260"/>
      <c r="L821" s="260"/>
      <c r="M821" s="260"/>
      <c r="N821" s="260"/>
      <c r="O821" s="260"/>
      <c r="P821" s="211"/>
      <c r="Q821" s="261"/>
      <c r="R821" s="208" t="str">
        <f ca="1">IF(ISERROR($V821),"",OFFSET('Smelter Look-up'!$C$4,$V821-4,0)&amp;"")</f>
        <v/>
      </c>
      <c r="S821" s="215" t="str">
        <f t="shared" ca="1" si="114"/>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si="115"/>
        <v>0</v>
      </c>
      <c r="Y821" s="263"/>
      <c r="Z821" s="263"/>
      <c r="AB821" s="265" t="str">
        <f t="shared" si="116"/>
        <v/>
      </c>
    </row>
    <row r="822" spans="1:28" s="264" customFormat="1" ht="20.399999999999999">
      <c r="A822" s="207"/>
      <c r="B822" s="208"/>
      <c r="C822" s="212"/>
      <c r="D822" s="270"/>
      <c r="E822" s="208"/>
      <c r="F822" s="208"/>
      <c r="G822" s="208"/>
      <c r="H822" s="209"/>
      <c r="I822" s="210"/>
      <c r="J822" s="210"/>
      <c r="K822" s="260"/>
      <c r="L822" s="260"/>
      <c r="M822" s="260"/>
      <c r="N822" s="260"/>
      <c r="O822" s="260"/>
      <c r="P822" s="211"/>
      <c r="Q822" s="261"/>
      <c r="R822" s="208" t="str">
        <f ca="1">IF(ISERROR($V822),"",OFFSET('Smelter Look-up'!$C$4,$V822-4,0)&amp;"")</f>
        <v/>
      </c>
      <c r="S822" s="215" t="str">
        <f t="shared" ca="1" si="114"/>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si="115"/>
        <v>0</v>
      </c>
      <c r="Y822" s="263"/>
      <c r="Z822" s="263"/>
      <c r="AB822" s="265" t="str">
        <f t="shared" si="116"/>
        <v/>
      </c>
    </row>
    <row r="823" spans="1:28" s="264" customFormat="1" ht="20.399999999999999">
      <c r="A823" s="207"/>
      <c r="B823" s="208"/>
      <c r="C823" s="212"/>
      <c r="D823" s="270"/>
      <c r="E823" s="208"/>
      <c r="F823" s="208"/>
      <c r="G823" s="208"/>
      <c r="H823" s="209"/>
      <c r="I823" s="210"/>
      <c r="J823" s="210"/>
      <c r="K823" s="260"/>
      <c r="L823" s="260"/>
      <c r="M823" s="260"/>
      <c r="N823" s="260"/>
      <c r="O823" s="260"/>
      <c r="P823" s="211"/>
      <c r="Q823" s="261"/>
      <c r="R823" s="208" t="str">
        <f ca="1">IF(ISERROR($V823),"",OFFSET('Smelter Look-up'!$C$4,$V823-4,0)&amp;"")</f>
        <v/>
      </c>
      <c r="S823" s="215" t="str">
        <f t="shared" ca="1" si="114"/>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si="115"/>
        <v>0</v>
      </c>
      <c r="Y823" s="263"/>
      <c r="Z823" s="263"/>
      <c r="AB823" s="265" t="str">
        <f t="shared" si="116"/>
        <v/>
      </c>
    </row>
    <row r="824" spans="1:28" s="264" customFormat="1" ht="20.399999999999999">
      <c r="A824" s="207"/>
      <c r="B824" s="208"/>
      <c r="C824" s="212"/>
      <c r="D824" s="270"/>
      <c r="E824" s="208"/>
      <c r="F824" s="208"/>
      <c r="G824" s="208"/>
      <c r="H824" s="209"/>
      <c r="I824" s="210"/>
      <c r="J824" s="210"/>
      <c r="K824" s="260"/>
      <c r="L824" s="260"/>
      <c r="M824" s="260"/>
      <c r="N824" s="260"/>
      <c r="O824" s="260"/>
      <c r="P824" s="211"/>
      <c r="Q824" s="261"/>
      <c r="R824" s="208" t="str">
        <f ca="1">IF(ISERROR($V824),"",OFFSET('Smelter Look-up'!$C$4,$V824-4,0)&amp;"")</f>
        <v/>
      </c>
      <c r="S824" s="215" t="str">
        <f t="shared" ca="1" si="114"/>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si="115"/>
        <v>0</v>
      </c>
      <c r="Y824" s="263"/>
      <c r="Z824" s="263"/>
      <c r="AB824" s="265" t="str">
        <f t="shared" si="116"/>
        <v/>
      </c>
    </row>
    <row r="825" spans="1:28" s="264" customFormat="1" ht="20.399999999999999">
      <c r="A825" s="207"/>
      <c r="B825" s="208"/>
      <c r="C825" s="212"/>
      <c r="D825" s="270"/>
      <c r="E825" s="208"/>
      <c r="F825" s="208"/>
      <c r="G825" s="208"/>
      <c r="H825" s="209"/>
      <c r="I825" s="210"/>
      <c r="J825" s="210"/>
      <c r="K825" s="260"/>
      <c r="L825" s="260"/>
      <c r="M825" s="260"/>
      <c r="N825" s="260"/>
      <c r="O825" s="260"/>
      <c r="P825" s="211"/>
      <c r="Q825" s="261"/>
      <c r="R825" s="208" t="str">
        <f ca="1">IF(ISERROR($V825),"",OFFSET('Smelter Look-up'!$C$4,$V825-4,0)&amp;"")</f>
        <v/>
      </c>
      <c r="S825" s="215" t="str">
        <f t="shared" ca="1" si="114"/>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si="115"/>
        <v>0</v>
      </c>
      <c r="Y825" s="263"/>
      <c r="Z825" s="263"/>
      <c r="AB825" s="265" t="str">
        <f t="shared" si="116"/>
        <v/>
      </c>
    </row>
    <row r="826" spans="1:28" s="264" customFormat="1" ht="20.399999999999999">
      <c r="A826" s="207"/>
      <c r="B826" s="208"/>
      <c r="C826" s="212"/>
      <c r="D826" s="270"/>
      <c r="E826" s="208"/>
      <c r="F826" s="208"/>
      <c r="G826" s="208"/>
      <c r="H826" s="209"/>
      <c r="I826" s="210"/>
      <c r="J826" s="210"/>
      <c r="K826" s="260"/>
      <c r="L826" s="260"/>
      <c r="M826" s="260"/>
      <c r="N826" s="260"/>
      <c r="O826" s="260"/>
      <c r="P826" s="211"/>
      <c r="Q826" s="261"/>
      <c r="R826" s="208" t="str">
        <f ca="1">IF(ISERROR($V826),"",OFFSET('Smelter Look-up'!$C$4,$V826-4,0)&amp;"")</f>
        <v/>
      </c>
      <c r="S826" s="215" t="str">
        <f t="shared" ca="1" si="114"/>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si="115"/>
        <v>0</v>
      </c>
      <c r="Y826" s="263"/>
      <c r="Z826" s="263"/>
      <c r="AB826" s="265" t="str">
        <f t="shared" si="116"/>
        <v/>
      </c>
    </row>
    <row r="827" spans="1:28" s="264" customFormat="1" ht="20.399999999999999">
      <c r="A827" s="207"/>
      <c r="B827" s="208"/>
      <c r="C827" s="212"/>
      <c r="D827" s="270"/>
      <c r="E827" s="208"/>
      <c r="F827" s="208"/>
      <c r="G827" s="208"/>
      <c r="H827" s="209"/>
      <c r="I827" s="210"/>
      <c r="J827" s="210"/>
      <c r="K827" s="260"/>
      <c r="L827" s="260"/>
      <c r="M827" s="260"/>
      <c r="N827" s="260"/>
      <c r="O827" s="260"/>
      <c r="P827" s="211"/>
      <c r="Q827" s="261"/>
      <c r="R827" s="208" t="str">
        <f ca="1">IF(ISERROR($V827),"",OFFSET('Smelter Look-up'!$C$4,$V827-4,0)&amp;"")</f>
        <v/>
      </c>
      <c r="S827" s="215" t="str">
        <f t="shared" ref="S827" ca="1" si="117">IF(B827="","",IF(ISERROR(MATCH($E827,CL,0)),"Unknown",INDIRECT("'C'!$A$"&amp;MATCH($E827,CL,0)+1)))</f>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ref="X827" si="118">IF(AND(C827="Smelter not listed",OR(LEN(D827)=0,LEN(E827)=0)),1,0)</f>
        <v>0</v>
      </c>
      <c r="Y827" s="263"/>
      <c r="Z827" s="263"/>
      <c r="AB827" s="265" t="str">
        <f t="shared" ref="AB827" si="119">B827&amp;C827</f>
        <v/>
      </c>
    </row>
    <row r="828" spans="1:28" s="264" customFormat="1" ht="20.399999999999999">
      <c r="A828" s="207"/>
      <c r="B828" s="208"/>
      <c r="C828" s="212"/>
      <c r="D828" s="270"/>
      <c r="E828" s="208"/>
      <c r="F828" s="208"/>
      <c r="G828" s="208"/>
      <c r="H828" s="209"/>
      <c r="I828" s="210"/>
      <c r="J828" s="210"/>
      <c r="K828" s="260"/>
      <c r="L828" s="260"/>
      <c r="M828" s="260"/>
      <c r="N828" s="260"/>
      <c r="O828" s="260"/>
      <c r="P828" s="211"/>
      <c r="Q828" s="261"/>
      <c r="R828" s="208" t="str">
        <f ca="1">IF(ISERROR($V828),"",OFFSET('Smelter Look-up'!$C$4,$V828-4,0)&amp;"")</f>
        <v/>
      </c>
      <c r="S828" s="215" t="str">
        <f t="shared" ref="S828:S859" ca="1" si="120">IF(B828="","",IF(ISERROR(MATCH($E828,CL,0)),"Unknown",INDIRECT("'C'!$A$"&amp;MATCH($E828,CL,0)+1)))</f>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ref="X828:X859" si="121">IF(AND(C828="Smelter not listed",OR(LEN(D828)=0,LEN(E828)=0)),1,0)</f>
        <v>0</v>
      </c>
      <c r="Y828" s="263"/>
      <c r="Z828" s="263"/>
      <c r="AB828" s="265" t="str">
        <f t="shared" ref="AB828:AB859" si="122">B828&amp;C828</f>
        <v/>
      </c>
    </row>
    <row r="829" spans="1:28" s="264" customFormat="1" ht="20.399999999999999">
      <c r="A829" s="207"/>
      <c r="B829" s="208"/>
      <c r="C829" s="212"/>
      <c r="D829" s="270"/>
      <c r="E829" s="208"/>
      <c r="F829" s="208"/>
      <c r="G829" s="208"/>
      <c r="H829" s="209"/>
      <c r="I829" s="210"/>
      <c r="J829" s="210"/>
      <c r="K829" s="260"/>
      <c r="L829" s="260"/>
      <c r="M829" s="260"/>
      <c r="N829" s="260"/>
      <c r="O829" s="260"/>
      <c r="P829" s="211"/>
      <c r="Q829" s="261"/>
      <c r="R829" s="208" t="str">
        <f ca="1">IF(ISERROR($V829),"",OFFSET('Smelter Look-up'!$C$4,$V829-4,0)&amp;"")</f>
        <v/>
      </c>
      <c r="S829" s="215" t="str">
        <f t="shared" ca="1" si="120"/>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si="121"/>
        <v>0</v>
      </c>
      <c r="Y829" s="263"/>
      <c r="Z829" s="263"/>
      <c r="AB829" s="265" t="str">
        <f t="shared" si="122"/>
        <v/>
      </c>
    </row>
    <row r="830" spans="1:28" s="264" customFormat="1" ht="20.399999999999999">
      <c r="A830" s="207"/>
      <c r="B830" s="208"/>
      <c r="C830" s="212"/>
      <c r="D830" s="270"/>
      <c r="E830" s="208"/>
      <c r="F830" s="208"/>
      <c r="G830" s="208"/>
      <c r="H830" s="209"/>
      <c r="I830" s="210"/>
      <c r="J830" s="210"/>
      <c r="K830" s="260"/>
      <c r="L830" s="260"/>
      <c r="M830" s="260"/>
      <c r="N830" s="260"/>
      <c r="O830" s="260"/>
      <c r="P830" s="211"/>
      <c r="Q830" s="261"/>
      <c r="R830" s="208" t="str">
        <f ca="1">IF(ISERROR($V830),"",OFFSET('Smelter Look-up'!$C$4,$V830-4,0)&amp;"")</f>
        <v/>
      </c>
      <c r="S830" s="215" t="str">
        <f t="shared" ca="1" si="120"/>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si="121"/>
        <v>0</v>
      </c>
      <c r="Y830" s="263"/>
      <c r="Z830" s="263"/>
      <c r="AB830" s="265" t="str">
        <f t="shared" si="122"/>
        <v/>
      </c>
    </row>
    <row r="831" spans="1:28" s="264" customFormat="1" ht="20.399999999999999">
      <c r="A831" s="207"/>
      <c r="B831" s="208"/>
      <c r="C831" s="212"/>
      <c r="D831" s="270"/>
      <c r="E831" s="208"/>
      <c r="F831" s="208"/>
      <c r="G831" s="208"/>
      <c r="H831" s="209"/>
      <c r="I831" s="210"/>
      <c r="J831" s="210"/>
      <c r="K831" s="260"/>
      <c r="L831" s="260"/>
      <c r="M831" s="260"/>
      <c r="N831" s="260"/>
      <c r="O831" s="260"/>
      <c r="P831" s="211"/>
      <c r="Q831" s="261"/>
      <c r="R831" s="208" t="str">
        <f ca="1">IF(ISERROR($V831),"",OFFSET('Smelter Look-up'!$C$4,$V831-4,0)&amp;"")</f>
        <v/>
      </c>
      <c r="S831" s="215" t="str">
        <f t="shared" ca="1" si="120"/>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si="121"/>
        <v>0</v>
      </c>
      <c r="Y831" s="263"/>
      <c r="Z831" s="263"/>
      <c r="AB831" s="265" t="str">
        <f t="shared" si="122"/>
        <v/>
      </c>
    </row>
    <row r="832" spans="1:28" s="264" customFormat="1" ht="20.399999999999999">
      <c r="A832" s="207"/>
      <c r="B832" s="208"/>
      <c r="C832" s="212"/>
      <c r="D832" s="270"/>
      <c r="E832" s="208"/>
      <c r="F832" s="208"/>
      <c r="G832" s="208"/>
      <c r="H832" s="209"/>
      <c r="I832" s="210"/>
      <c r="J832" s="210"/>
      <c r="K832" s="260"/>
      <c r="L832" s="260"/>
      <c r="M832" s="260"/>
      <c r="N832" s="260"/>
      <c r="O832" s="260"/>
      <c r="P832" s="211"/>
      <c r="Q832" s="261"/>
      <c r="R832" s="208" t="str">
        <f ca="1">IF(ISERROR($V832),"",OFFSET('Smelter Look-up'!$C$4,$V832-4,0)&amp;"")</f>
        <v/>
      </c>
      <c r="S832" s="215" t="str">
        <f t="shared" ca="1" si="120"/>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si="121"/>
        <v>0</v>
      </c>
      <c r="Y832" s="263"/>
      <c r="Z832" s="263"/>
      <c r="AB832" s="265" t="str">
        <f t="shared" si="122"/>
        <v/>
      </c>
    </row>
    <row r="833" spans="1:28" s="264" customFormat="1" ht="20.399999999999999">
      <c r="A833" s="207"/>
      <c r="B833" s="208"/>
      <c r="C833" s="212"/>
      <c r="D833" s="270"/>
      <c r="E833" s="208"/>
      <c r="F833" s="208"/>
      <c r="G833" s="208"/>
      <c r="H833" s="209"/>
      <c r="I833" s="210"/>
      <c r="J833" s="210"/>
      <c r="K833" s="260"/>
      <c r="L833" s="260"/>
      <c r="M833" s="260"/>
      <c r="N833" s="260"/>
      <c r="O833" s="260"/>
      <c r="P833" s="211"/>
      <c r="Q833" s="261"/>
      <c r="R833" s="208" t="str">
        <f ca="1">IF(ISERROR($V833),"",OFFSET('Smelter Look-up'!$C$4,$V833-4,0)&amp;"")</f>
        <v/>
      </c>
      <c r="S833" s="215" t="str">
        <f t="shared" ca="1" si="120"/>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si="121"/>
        <v>0</v>
      </c>
      <c r="Y833" s="263"/>
      <c r="Z833" s="263"/>
      <c r="AB833" s="265" t="str">
        <f t="shared" si="122"/>
        <v/>
      </c>
    </row>
    <row r="834" spans="1:28" s="264" customFormat="1" ht="20.399999999999999">
      <c r="A834" s="207"/>
      <c r="B834" s="208"/>
      <c r="C834" s="212"/>
      <c r="D834" s="270"/>
      <c r="E834" s="208"/>
      <c r="F834" s="208"/>
      <c r="G834" s="208"/>
      <c r="H834" s="209"/>
      <c r="I834" s="210"/>
      <c r="J834" s="210"/>
      <c r="K834" s="260"/>
      <c r="L834" s="260"/>
      <c r="M834" s="260"/>
      <c r="N834" s="260"/>
      <c r="O834" s="260"/>
      <c r="P834" s="211"/>
      <c r="Q834" s="261"/>
      <c r="R834" s="208" t="str">
        <f ca="1">IF(ISERROR($V834),"",OFFSET('Smelter Look-up'!$C$4,$V834-4,0)&amp;"")</f>
        <v/>
      </c>
      <c r="S834" s="215" t="str">
        <f t="shared" ca="1" si="120"/>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si="121"/>
        <v>0</v>
      </c>
      <c r="Y834" s="263"/>
      <c r="Z834" s="263"/>
      <c r="AB834" s="265" t="str">
        <f t="shared" si="122"/>
        <v/>
      </c>
    </row>
    <row r="835" spans="1:28" s="264" customFormat="1" ht="20.399999999999999">
      <c r="A835" s="207"/>
      <c r="B835" s="208"/>
      <c r="C835" s="212"/>
      <c r="D835" s="270"/>
      <c r="E835" s="208"/>
      <c r="F835" s="208"/>
      <c r="G835" s="208"/>
      <c r="H835" s="209"/>
      <c r="I835" s="210"/>
      <c r="J835" s="210"/>
      <c r="K835" s="260"/>
      <c r="L835" s="260"/>
      <c r="M835" s="260"/>
      <c r="N835" s="260"/>
      <c r="O835" s="260"/>
      <c r="P835" s="211"/>
      <c r="Q835" s="261"/>
      <c r="R835" s="208" t="str">
        <f ca="1">IF(ISERROR($V835),"",OFFSET('Smelter Look-up'!$C$4,$V835-4,0)&amp;"")</f>
        <v/>
      </c>
      <c r="S835" s="215" t="str">
        <f t="shared" ca="1" si="120"/>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si="121"/>
        <v>0</v>
      </c>
      <c r="Y835" s="263"/>
      <c r="Z835" s="263"/>
      <c r="AB835" s="265" t="str">
        <f t="shared" si="122"/>
        <v/>
      </c>
    </row>
    <row r="836" spans="1:28" s="264" customFormat="1" ht="20.399999999999999">
      <c r="A836" s="207"/>
      <c r="B836" s="208"/>
      <c r="C836" s="212"/>
      <c r="D836" s="270"/>
      <c r="E836" s="208"/>
      <c r="F836" s="208"/>
      <c r="G836" s="208"/>
      <c r="H836" s="209"/>
      <c r="I836" s="210"/>
      <c r="J836" s="210"/>
      <c r="K836" s="260"/>
      <c r="L836" s="260"/>
      <c r="M836" s="260"/>
      <c r="N836" s="260"/>
      <c r="O836" s="260"/>
      <c r="P836" s="211"/>
      <c r="Q836" s="261"/>
      <c r="R836" s="208" t="str">
        <f ca="1">IF(ISERROR($V836),"",OFFSET('Smelter Look-up'!$C$4,$V836-4,0)&amp;"")</f>
        <v/>
      </c>
      <c r="S836" s="215" t="str">
        <f t="shared" ca="1" si="120"/>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si="121"/>
        <v>0</v>
      </c>
      <c r="Y836" s="263"/>
      <c r="Z836" s="263"/>
      <c r="AB836" s="265" t="str">
        <f t="shared" si="122"/>
        <v/>
      </c>
    </row>
    <row r="837" spans="1:28" s="264" customFormat="1" ht="20.399999999999999">
      <c r="A837" s="207"/>
      <c r="B837" s="208"/>
      <c r="C837" s="212"/>
      <c r="D837" s="270"/>
      <c r="E837" s="208"/>
      <c r="F837" s="208"/>
      <c r="G837" s="208"/>
      <c r="H837" s="209"/>
      <c r="I837" s="210"/>
      <c r="J837" s="210"/>
      <c r="K837" s="260"/>
      <c r="L837" s="260"/>
      <c r="M837" s="260"/>
      <c r="N837" s="260"/>
      <c r="O837" s="260"/>
      <c r="P837" s="211"/>
      <c r="Q837" s="261"/>
      <c r="R837" s="208" t="str">
        <f ca="1">IF(ISERROR($V837),"",OFFSET('Smelter Look-up'!$C$4,$V837-4,0)&amp;"")</f>
        <v/>
      </c>
      <c r="S837" s="215" t="str">
        <f t="shared" ca="1" si="120"/>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si="121"/>
        <v>0</v>
      </c>
      <c r="Y837" s="263"/>
      <c r="Z837" s="263"/>
      <c r="AB837" s="265" t="str">
        <f t="shared" si="122"/>
        <v/>
      </c>
    </row>
    <row r="838" spans="1:28" s="264" customFormat="1" ht="20.399999999999999">
      <c r="A838" s="207"/>
      <c r="B838" s="208"/>
      <c r="C838" s="212"/>
      <c r="D838" s="270"/>
      <c r="E838" s="208"/>
      <c r="F838" s="208"/>
      <c r="G838" s="208"/>
      <c r="H838" s="209"/>
      <c r="I838" s="210"/>
      <c r="J838" s="210"/>
      <c r="K838" s="260"/>
      <c r="L838" s="260"/>
      <c r="M838" s="260"/>
      <c r="N838" s="260"/>
      <c r="O838" s="260"/>
      <c r="P838" s="211"/>
      <c r="Q838" s="261"/>
      <c r="R838" s="208" t="str">
        <f ca="1">IF(ISERROR($V838),"",OFFSET('Smelter Look-up'!$C$4,$V838-4,0)&amp;"")</f>
        <v/>
      </c>
      <c r="S838" s="215" t="str">
        <f t="shared" ca="1" si="120"/>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si="121"/>
        <v>0</v>
      </c>
      <c r="Y838" s="263"/>
      <c r="Z838" s="263"/>
      <c r="AB838" s="265" t="str">
        <f t="shared" si="122"/>
        <v/>
      </c>
    </row>
    <row r="839" spans="1:28" s="264" customFormat="1" ht="20.399999999999999">
      <c r="A839" s="207"/>
      <c r="B839" s="208"/>
      <c r="C839" s="212"/>
      <c r="D839" s="270"/>
      <c r="E839" s="208"/>
      <c r="F839" s="208"/>
      <c r="G839" s="208"/>
      <c r="H839" s="209"/>
      <c r="I839" s="210"/>
      <c r="J839" s="210"/>
      <c r="K839" s="260"/>
      <c r="L839" s="260"/>
      <c r="M839" s="260"/>
      <c r="N839" s="260"/>
      <c r="O839" s="260"/>
      <c r="P839" s="211"/>
      <c r="Q839" s="261"/>
      <c r="R839" s="208" t="str">
        <f ca="1">IF(ISERROR($V839),"",OFFSET('Smelter Look-up'!$C$4,$V839-4,0)&amp;"")</f>
        <v/>
      </c>
      <c r="S839" s="215" t="str">
        <f t="shared" ca="1" si="120"/>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si="121"/>
        <v>0</v>
      </c>
      <c r="Y839" s="263"/>
      <c r="Z839" s="263"/>
      <c r="AB839" s="265" t="str">
        <f t="shared" si="122"/>
        <v/>
      </c>
    </row>
    <row r="840" spans="1:28" s="264" customFormat="1" ht="20.399999999999999">
      <c r="A840" s="207"/>
      <c r="B840" s="208"/>
      <c r="C840" s="212"/>
      <c r="D840" s="270"/>
      <c r="E840" s="208"/>
      <c r="F840" s="208"/>
      <c r="G840" s="208"/>
      <c r="H840" s="209"/>
      <c r="I840" s="210"/>
      <c r="J840" s="210"/>
      <c r="K840" s="260"/>
      <c r="L840" s="260"/>
      <c r="M840" s="260"/>
      <c r="N840" s="260"/>
      <c r="O840" s="260"/>
      <c r="P840" s="211"/>
      <c r="Q840" s="261"/>
      <c r="R840" s="208" t="str">
        <f ca="1">IF(ISERROR($V840),"",OFFSET('Smelter Look-up'!$C$4,$V840-4,0)&amp;"")</f>
        <v/>
      </c>
      <c r="S840" s="215" t="str">
        <f t="shared" ca="1" si="120"/>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si="121"/>
        <v>0</v>
      </c>
      <c r="Y840" s="263"/>
      <c r="Z840" s="263"/>
      <c r="AB840" s="265" t="str">
        <f t="shared" si="122"/>
        <v/>
      </c>
    </row>
    <row r="841" spans="1:28" s="264" customFormat="1" ht="20.399999999999999">
      <c r="A841" s="207"/>
      <c r="B841" s="208"/>
      <c r="C841" s="212"/>
      <c r="D841" s="270"/>
      <c r="E841" s="208"/>
      <c r="F841" s="208"/>
      <c r="G841" s="208"/>
      <c r="H841" s="209"/>
      <c r="I841" s="210"/>
      <c r="J841" s="210"/>
      <c r="K841" s="260"/>
      <c r="L841" s="260"/>
      <c r="M841" s="260"/>
      <c r="N841" s="260"/>
      <c r="O841" s="260"/>
      <c r="P841" s="211"/>
      <c r="Q841" s="261"/>
      <c r="R841" s="208" t="str">
        <f ca="1">IF(ISERROR($V841),"",OFFSET('Smelter Look-up'!$C$4,$V841-4,0)&amp;"")</f>
        <v/>
      </c>
      <c r="S841" s="215" t="str">
        <f t="shared" ca="1" si="120"/>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si="121"/>
        <v>0</v>
      </c>
      <c r="Y841" s="263"/>
      <c r="Z841" s="263"/>
      <c r="AB841" s="265" t="str">
        <f t="shared" si="122"/>
        <v/>
      </c>
    </row>
    <row r="842" spans="1:28" s="264" customFormat="1" ht="20.399999999999999">
      <c r="A842" s="207"/>
      <c r="B842" s="208"/>
      <c r="C842" s="212"/>
      <c r="D842" s="270"/>
      <c r="E842" s="208"/>
      <c r="F842" s="208"/>
      <c r="G842" s="208"/>
      <c r="H842" s="209"/>
      <c r="I842" s="210"/>
      <c r="J842" s="210"/>
      <c r="K842" s="260"/>
      <c r="L842" s="260"/>
      <c r="M842" s="260"/>
      <c r="N842" s="260"/>
      <c r="O842" s="260"/>
      <c r="P842" s="211"/>
      <c r="Q842" s="261"/>
      <c r="R842" s="208" t="str">
        <f ca="1">IF(ISERROR($V842),"",OFFSET('Smelter Look-up'!$C$4,$V842-4,0)&amp;"")</f>
        <v/>
      </c>
      <c r="S842" s="215" t="str">
        <f t="shared" ca="1" si="120"/>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si="121"/>
        <v>0</v>
      </c>
      <c r="Y842" s="263"/>
      <c r="Z842" s="263"/>
      <c r="AB842" s="265" t="str">
        <f t="shared" si="122"/>
        <v/>
      </c>
    </row>
    <row r="843" spans="1:28" s="264" customFormat="1" ht="20.399999999999999">
      <c r="A843" s="207"/>
      <c r="B843" s="208"/>
      <c r="C843" s="212"/>
      <c r="D843" s="270"/>
      <c r="E843" s="208"/>
      <c r="F843" s="208"/>
      <c r="G843" s="208"/>
      <c r="H843" s="209"/>
      <c r="I843" s="210"/>
      <c r="J843" s="210"/>
      <c r="K843" s="260"/>
      <c r="L843" s="260"/>
      <c r="M843" s="260"/>
      <c r="N843" s="260"/>
      <c r="O843" s="260"/>
      <c r="P843" s="211"/>
      <c r="Q843" s="261"/>
      <c r="R843" s="208" t="str">
        <f ca="1">IF(ISERROR($V843),"",OFFSET('Smelter Look-up'!$C$4,$V843-4,0)&amp;"")</f>
        <v/>
      </c>
      <c r="S843" s="215" t="str">
        <f t="shared" ca="1" si="120"/>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si="121"/>
        <v>0</v>
      </c>
      <c r="Y843" s="263"/>
      <c r="Z843" s="263"/>
      <c r="AB843" s="265" t="str">
        <f t="shared" si="122"/>
        <v/>
      </c>
    </row>
    <row r="844" spans="1:28" s="264" customFormat="1" ht="20.399999999999999">
      <c r="A844" s="207"/>
      <c r="B844" s="208"/>
      <c r="C844" s="212"/>
      <c r="D844" s="270"/>
      <c r="E844" s="208"/>
      <c r="F844" s="208"/>
      <c r="G844" s="208"/>
      <c r="H844" s="209"/>
      <c r="I844" s="210"/>
      <c r="J844" s="210"/>
      <c r="K844" s="260"/>
      <c r="L844" s="260"/>
      <c r="M844" s="260"/>
      <c r="N844" s="260"/>
      <c r="O844" s="260"/>
      <c r="P844" s="211"/>
      <c r="Q844" s="261"/>
      <c r="R844" s="208" t="str">
        <f ca="1">IF(ISERROR($V844),"",OFFSET('Smelter Look-up'!$C$4,$V844-4,0)&amp;"")</f>
        <v/>
      </c>
      <c r="S844" s="215" t="str">
        <f t="shared" ca="1" si="120"/>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si="121"/>
        <v>0</v>
      </c>
      <c r="Y844" s="263"/>
      <c r="Z844" s="263"/>
      <c r="AB844" s="265" t="str">
        <f t="shared" si="122"/>
        <v/>
      </c>
    </row>
    <row r="845" spans="1:28" s="264" customFormat="1" ht="20.399999999999999">
      <c r="A845" s="207"/>
      <c r="B845" s="208"/>
      <c r="C845" s="212"/>
      <c r="D845" s="270"/>
      <c r="E845" s="208"/>
      <c r="F845" s="208"/>
      <c r="G845" s="208"/>
      <c r="H845" s="209"/>
      <c r="I845" s="210"/>
      <c r="J845" s="210"/>
      <c r="K845" s="260"/>
      <c r="L845" s="260"/>
      <c r="M845" s="260"/>
      <c r="N845" s="260"/>
      <c r="O845" s="260"/>
      <c r="P845" s="211"/>
      <c r="Q845" s="261"/>
      <c r="R845" s="208" t="str">
        <f ca="1">IF(ISERROR($V845),"",OFFSET('Smelter Look-up'!$C$4,$V845-4,0)&amp;"")</f>
        <v/>
      </c>
      <c r="S845" s="215" t="str">
        <f t="shared" ca="1" si="120"/>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si="121"/>
        <v>0</v>
      </c>
      <c r="Y845" s="263"/>
      <c r="Z845" s="263"/>
      <c r="AB845" s="265" t="str">
        <f t="shared" si="122"/>
        <v/>
      </c>
    </row>
    <row r="846" spans="1:28" s="264" customFormat="1" ht="20.399999999999999">
      <c r="A846" s="207"/>
      <c r="B846" s="208"/>
      <c r="C846" s="212"/>
      <c r="D846" s="270"/>
      <c r="E846" s="208"/>
      <c r="F846" s="208"/>
      <c r="G846" s="208"/>
      <c r="H846" s="209"/>
      <c r="I846" s="210"/>
      <c r="J846" s="210"/>
      <c r="K846" s="260"/>
      <c r="L846" s="260"/>
      <c r="M846" s="260"/>
      <c r="N846" s="260"/>
      <c r="O846" s="260"/>
      <c r="P846" s="211"/>
      <c r="Q846" s="261"/>
      <c r="R846" s="208" t="str">
        <f ca="1">IF(ISERROR($V846),"",OFFSET('Smelter Look-up'!$C$4,$V846-4,0)&amp;"")</f>
        <v/>
      </c>
      <c r="S846" s="215" t="str">
        <f t="shared" ca="1" si="120"/>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si="121"/>
        <v>0</v>
      </c>
      <c r="Y846" s="263"/>
      <c r="Z846" s="263"/>
      <c r="AB846" s="265" t="str">
        <f t="shared" si="122"/>
        <v/>
      </c>
    </row>
    <row r="847" spans="1:28" s="264" customFormat="1" ht="20.399999999999999">
      <c r="A847" s="207"/>
      <c r="B847" s="208"/>
      <c r="C847" s="212"/>
      <c r="D847" s="270"/>
      <c r="E847" s="208"/>
      <c r="F847" s="208"/>
      <c r="G847" s="208"/>
      <c r="H847" s="209"/>
      <c r="I847" s="210"/>
      <c r="J847" s="210"/>
      <c r="K847" s="260"/>
      <c r="L847" s="260"/>
      <c r="M847" s="260"/>
      <c r="N847" s="260"/>
      <c r="O847" s="260"/>
      <c r="P847" s="211"/>
      <c r="Q847" s="261"/>
      <c r="R847" s="208" t="str">
        <f ca="1">IF(ISERROR($V847),"",OFFSET('Smelter Look-up'!$C$4,$V847-4,0)&amp;"")</f>
        <v/>
      </c>
      <c r="S847" s="215" t="str">
        <f t="shared" ca="1" si="120"/>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si="121"/>
        <v>0</v>
      </c>
      <c r="Y847" s="263"/>
      <c r="Z847" s="263"/>
      <c r="AB847" s="265" t="str">
        <f t="shared" si="122"/>
        <v/>
      </c>
    </row>
    <row r="848" spans="1:28" s="264" customFormat="1" ht="20.399999999999999">
      <c r="A848" s="207"/>
      <c r="B848" s="208"/>
      <c r="C848" s="212"/>
      <c r="D848" s="270"/>
      <c r="E848" s="208"/>
      <c r="F848" s="208"/>
      <c r="G848" s="208"/>
      <c r="H848" s="209"/>
      <c r="I848" s="210"/>
      <c r="J848" s="210"/>
      <c r="K848" s="260"/>
      <c r="L848" s="260"/>
      <c r="M848" s="260"/>
      <c r="N848" s="260"/>
      <c r="O848" s="260"/>
      <c r="P848" s="211"/>
      <c r="Q848" s="261"/>
      <c r="R848" s="208" t="str">
        <f ca="1">IF(ISERROR($V848),"",OFFSET('Smelter Look-up'!$C$4,$V848-4,0)&amp;"")</f>
        <v/>
      </c>
      <c r="S848" s="215" t="str">
        <f t="shared" ca="1" si="120"/>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si="121"/>
        <v>0</v>
      </c>
      <c r="Y848" s="263"/>
      <c r="Z848" s="263"/>
      <c r="AB848" s="265" t="str">
        <f t="shared" si="122"/>
        <v/>
      </c>
    </row>
    <row r="849" spans="1:28" s="264" customFormat="1" ht="20.399999999999999">
      <c r="A849" s="207"/>
      <c r="B849" s="208"/>
      <c r="C849" s="212"/>
      <c r="D849" s="270"/>
      <c r="E849" s="208"/>
      <c r="F849" s="208"/>
      <c r="G849" s="208"/>
      <c r="H849" s="209"/>
      <c r="I849" s="210"/>
      <c r="J849" s="210"/>
      <c r="K849" s="260"/>
      <c r="L849" s="260"/>
      <c r="M849" s="260"/>
      <c r="N849" s="260"/>
      <c r="O849" s="260"/>
      <c r="P849" s="211"/>
      <c r="Q849" s="261"/>
      <c r="R849" s="208" t="str">
        <f ca="1">IF(ISERROR($V849),"",OFFSET('Smelter Look-up'!$C$4,$V849-4,0)&amp;"")</f>
        <v/>
      </c>
      <c r="S849" s="215" t="str">
        <f t="shared" ca="1" si="120"/>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si="121"/>
        <v>0</v>
      </c>
      <c r="Y849" s="263"/>
      <c r="Z849" s="263"/>
      <c r="AB849" s="265" t="str">
        <f t="shared" si="122"/>
        <v/>
      </c>
    </row>
    <row r="850" spans="1:28" s="264" customFormat="1" ht="20.399999999999999">
      <c r="A850" s="207"/>
      <c r="B850" s="208"/>
      <c r="C850" s="212"/>
      <c r="D850" s="270"/>
      <c r="E850" s="208"/>
      <c r="F850" s="208"/>
      <c r="G850" s="208"/>
      <c r="H850" s="209"/>
      <c r="I850" s="210"/>
      <c r="J850" s="210"/>
      <c r="K850" s="260"/>
      <c r="L850" s="260"/>
      <c r="M850" s="260"/>
      <c r="N850" s="260"/>
      <c r="O850" s="260"/>
      <c r="P850" s="211"/>
      <c r="Q850" s="261"/>
      <c r="R850" s="208" t="str">
        <f ca="1">IF(ISERROR($V850),"",OFFSET('Smelter Look-up'!$C$4,$V850-4,0)&amp;"")</f>
        <v/>
      </c>
      <c r="S850" s="215" t="str">
        <f t="shared" ca="1" si="120"/>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si="121"/>
        <v>0</v>
      </c>
      <c r="Y850" s="263"/>
      <c r="Z850" s="263"/>
      <c r="AB850" s="265" t="str">
        <f t="shared" si="122"/>
        <v/>
      </c>
    </row>
    <row r="851" spans="1:28" s="264" customFormat="1" ht="20.399999999999999">
      <c r="A851" s="207"/>
      <c r="B851" s="208"/>
      <c r="C851" s="212"/>
      <c r="D851" s="270"/>
      <c r="E851" s="208"/>
      <c r="F851" s="208"/>
      <c r="G851" s="208"/>
      <c r="H851" s="209"/>
      <c r="I851" s="210"/>
      <c r="J851" s="210"/>
      <c r="K851" s="260"/>
      <c r="L851" s="260"/>
      <c r="M851" s="260"/>
      <c r="N851" s="260"/>
      <c r="O851" s="260"/>
      <c r="P851" s="211"/>
      <c r="Q851" s="261"/>
      <c r="R851" s="208" t="str">
        <f ca="1">IF(ISERROR($V851),"",OFFSET('Smelter Look-up'!$C$4,$V851-4,0)&amp;"")</f>
        <v/>
      </c>
      <c r="S851" s="215" t="str">
        <f t="shared" ca="1" si="120"/>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si="121"/>
        <v>0</v>
      </c>
      <c r="Y851" s="263"/>
      <c r="Z851" s="263"/>
      <c r="AB851" s="265" t="str">
        <f t="shared" si="122"/>
        <v/>
      </c>
    </row>
    <row r="852" spans="1:28" s="264" customFormat="1" ht="20.399999999999999">
      <c r="A852" s="207"/>
      <c r="B852" s="208"/>
      <c r="C852" s="212"/>
      <c r="D852" s="270"/>
      <c r="E852" s="208"/>
      <c r="F852" s="208"/>
      <c r="G852" s="208"/>
      <c r="H852" s="209"/>
      <c r="I852" s="210"/>
      <c r="J852" s="210"/>
      <c r="K852" s="260"/>
      <c r="L852" s="260"/>
      <c r="M852" s="260"/>
      <c r="N852" s="260"/>
      <c r="O852" s="260"/>
      <c r="P852" s="211"/>
      <c r="Q852" s="261"/>
      <c r="R852" s="208" t="str">
        <f ca="1">IF(ISERROR($V852),"",OFFSET('Smelter Look-up'!$C$4,$V852-4,0)&amp;"")</f>
        <v/>
      </c>
      <c r="S852" s="215" t="str">
        <f t="shared" ca="1" si="120"/>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si="121"/>
        <v>0</v>
      </c>
      <c r="Y852" s="263"/>
      <c r="Z852" s="263"/>
      <c r="AB852" s="265" t="str">
        <f t="shared" si="122"/>
        <v/>
      </c>
    </row>
    <row r="853" spans="1:28" s="264" customFormat="1" ht="20.399999999999999">
      <c r="A853" s="207"/>
      <c r="B853" s="208"/>
      <c r="C853" s="212"/>
      <c r="D853" s="270"/>
      <c r="E853" s="208"/>
      <c r="F853" s="208"/>
      <c r="G853" s="208"/>
      <c r="H853" s="209"/>
      <c r="I853" s="210"/>
      <c r="J853" s="210"/>
      <c r="K853" s="260"/>
      <c r="L853" s="260"/>
      <c r="M853" s="260"/>
      <c r="N853" s="260"/>
      <c r="O853" s="260"/>
      <c r="P853" s="211"/>
      <c r="Q853" s="261"/>
      <c r="R853" s="208" t="str">
        <f ca="1">IF(ISERROR($V853),"",OFFSET('Smelter Look-up'!$C$4,$V853-4,0)&amp;"")</f>
        <v/>
      </c>
      <c r="S853" s="215" t="str">
        <f t="shared" ca="1" si="120"/>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si="121"/>
        <v>0</v>
      </c>
      <c r="Y853" s="263"/>
      <c r="Z853" s="263"/>
      <c r="AB853" s="265" t="str">
        <f t="shared" si="122"/>
        <v/>
      </c>
    </row>
    <row r="854" spans="1:28" s="264" customFormat="1" ht="20.399999999999999">
      <c r="A854" s="207"/>
      <c r="B854" s="208"/>
      <c r="C854" s="212"/>
      <c r="D854" s="270"/>
      <c r="E854" s="208"/>
      <c r="F854" s="208"/>
      <c r="G854" s="208"/>
      <c r="H854" s="209"/>
      <c r="I854" s="210"/>
      <c r="J854" s="210"/>
      <c r="K854" s="260"/>
      <c r="L854" s="260"/>
      <c r="M854" s="260"/>
      <c r="N854" s="260"/>
      <c r="O854" s="260"/>
      <c r="P854" s="211"/>
      <c r="Q854" s="261"/>
      <c r="R854" s="208" t="str">
        <f ca="1">IF(ISERROR($V854),"",OFFSET('Smelter Look-up'!$C$4,$V854-4,0)&amp;"")</f>
        <v/>
      </c>
      <c r="S854" s="215" t="str">
        <f t="shared" ca="1" si="120"/>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si="121"/>
        <v>0</v>
      </c>
      <c r="Y854" s="263"/>
      <c r="Z854" s="263"/>
      <c r="AB854" s="265" t="str">
        <f t="shared" si="122"/>
        <v/>
      </c>
    </row>
    <row r="855" spans="1:28" s="264" customFormat="1" ht="20.399999999999999">
      <c r="A855" s="207"/>
      <c r="B855" s="208"/>
      <c r="C855" s="212"/>
      <c r="D855" s="270"/>
      <c r="E855" s="208"/>
      <c r="F855" s="208"/>
      <c r="G855" s="208"/>
      <c r="H855" s="209"/>
      <c r="I855" s="210"/>
      <c r="J855" s="210"/>
      <c r="K855" s="260"/>
      <c r="L855" s="260"/>
      <c r="M855" s="260"/>
      <c r="N855" s="260"/>
      <c r="O855" s="260"/>
      <c r="P855" s="211"/>
      <c r="Q855" s="261"/>
      <c r="R855" s="208" t="str">
        <f ca="1">IF(ISERROR($V855),"",OFFSET('Smelter Look-up'!$C$4,$V855-4,0)&amp;"")</f>
        <v/>
      </c>
      <c r="S855" s="215" t="str">
        <f t="shared" ca="1" si="120"/>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si="121"/>
        <v>0</v>
      </c>
      <c r="Y855" s="263"/>
      <c r="Z855" s="263"/>
      <c r="AB855" s="265" t="str">
        <f t="shared" si="122"/>
        <v/>
      </c>
    </row>
    <row r="856" spans="1:28" s="264" customFormat="1" ht="20.399999999999999">
      <c r="A856" s="207"/>
      <c r="B856" s="208"/>
      <c r="C856" s="212"/>
      <c r="D856" s="270"/>
      <c r="E856" s="208"/>
      <c r="F856" s="208"/>
      <c r="G856" s="208"/>
      <c r="H856" s="209"/>
      <c r="I856" s="210"/>
      <c r="J856" s="210"/>
      <c r="K856" s="260"/>
      <c r="L856" s="260"/>
      <c r="M856" s="260"/>
      <c r="N856" s="260"/>
      <c r="O856" s="260"/>
      <c r="P856" s="211"/>
      <c r="Q856" s="261"/>
      <c r="R856" s="208" t="str">
        <f ca="1">IF(ISERROR($V856),"",OFFSET('Smelter Look-up'!$C$4,$V856-4,0)&amp;"")</f>
        <v/>
      </c>
      <c r="S856" s="215" t="str">
        <f t="shared" ca="1" si="120"/>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si="121"/>
        <v>0</v>
      </c>
      <c r="Y856" s="263"/>
      <c r="Z856" s="263"/>
      <c r="AB856" s="265" t="str">
        <f t="shared" si="122"/>
        <v/>
      </c>
    </row>
    <row r="857" spans="1:28" s="264" customFormat="1" ht="20.399999999999999">
      <c r="A857" s="207"/>
      <c r="B857" s="208"/>
      <c r="C857" s="212"/>
      <c r="D857" s="270"/>
      <c r="E857" s="208"/>
      <c r="F857" s="208"/>
      <c r="G857" s="208"/>
      <c r="H857" s="209"/>
      <c r="I857" s="210"/>
      <c r="J857" s="210"/>
      <c r="K857" s="260"/>
      <c r="L857" s="260"/>
      <c r="M857" s="260"/>
      <c r="N857" s="260"/>
      <c r="O857" s="260"/>
      <c r="P857" s="211"/>
      <c r="Q857" s="261"/>
      <c r="R857" s="208" t="str">
        <f ca="1">IF(ISERROR($V857),"",OFFSET('Smelter Look-up'!$C$4,$V857-4,0)&amp;"")</f>
        <v/>
      </c>
      <c r="S857" s="215" t="str">
        <f t="shared" ca="1" si="120"/>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si="121"/>
        <v>0</v>
      </c>
      <c r="Y857" s="263"/>
      <c r="Z857" s="263"/>
      <c r="AB857" s="265" t="str">
        <f t="shared" si="122"/>
        <v/>
      </c>
    </row>
    <row r="858" spans="1:28" s="264" customFormat="1" ht="20.399999999999999">
      <c r="A858" s="207"/>
      <c r="B858" s="208"/>
      <c r="C858" s="212"/>
      <c r="D858" s="270"/>
      <c r="E858" s="208"/>
      <c r="F858" s="208"/>
      <c r="G858" s="208"/>
      <c r="H858" s="209"/>
      <c r="I858" s="210"/>
      <c r="J858" s="210"/>
      <c r="K858" s="260"/>
      <c r="L858" s="260"/>
      <c r="M858" s="260"/>
      <c r="N858" s="260"/>
      <c r="O858" s="260"/>
      <c r="P858" s="211"/>
      <c r="Q858" s="261"/>
      <c r="R858" s="208" t="str">
        <f ca="1">IF(ISERROR($V858),"",OFFSET('Smelter Look-up'!$C$4,$V858-4,0)&amp;"")</f>
        <v/>
      </c>
      <c r="S858" s="215" t="str">
        <f t="shared" ca="1" si="120"/>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si="121"/>
        <v>0</v>
      </c>
      <c r="Y858" s="263"/>
      <c r="Z858" s="263"/>
      <c r="AB858" s="265" t="str">
        <f t="shared" si="122"/>
        <v/>
      </c>
    </row>
    <row r="859" spans="1:28" s="264" customFormat="1" ht="20.399999999999999">
      <c r="A859" s="207"/>
      <c r="B859" s="208"/>
      <c r="C859" s="212"/>
      <c r="D859" s="270"/>
      <c r="E859" s="208"/>
      <c r="F859" s="208"/>
      <c r="G859" s="208"/>
      <c r="H859" s="209"/>
      <c r="I859" s="210"/>
      <c r="J859" s="210"/>
      <c r="K859" s="260"/>
      <c r="L859" s="260"/>
      <c r="M859" s="260"/>
      <c r="N859" s="260"/>
      <c r="O859" s="260"/>
      <c r="P859" s="211"/>
      <c r="Q859" s="261"/>
      <c r="R859" s="208" t="str">
        <f ca="1">IF(ISERROR($V859),"",OFFSET('Smelter Look-up'!$C$4,$V859-4,0)&amp;"")</f>
        <v/>
      </c>
      <c r="S859" s="215" t="str">
        <f t="shared" ca="1" si="120"/>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si="121"/>
        <v>0</v>
      </c>
      <c r="Y859" s="263"/>
      <c r="Z859" s="263"/>
      <c r="AB859" s="265" t="str">
        <f t="shared" si="122"/>
        <v/>
      </c>
    </row>
    <row r="860" spans="1:28" s="264" customFormat="1" ht="20.399999999999999">
      <c r="A860" s="207"/>
      <c r="B860" s="208"/>
      <c r="C860" s="212"/>
      <c r="D860" s="270"/>
      <c r="E860" s="208"/>
      <c r="F860" s="208"/>
      <c r="G860" s="208"/>
      <c r="H860" s="209"/>
      <c r="I860" s="210"/>
      <c r="J860" s="210"/>
      <c r="K860" s="260"/>
      <c r="L860" s="260"/>
      <c r="M860" s="260"/>
      <c r="N860" s="260"/>
      <c r="O860" s="260"/>
      <c r="P860" s="211"/>
      <c r="Q860" s="261"/>
      <c r="R860" s="208" t="str">
        <f ca="1">IF(ISERROR($V860),"",OFFSET('Smelter Look-up'!$C$4,$V860-4,0)&amp;"")</f>
        <v/>
      </c>
      <c r="S860" s="215" t="str">
        <f t="shared" ref="S860:S890" ca="1" si="123">IF(B860="","",IF(ISERROR(MATCH($E860,CL,0)),"Unknown",INDIRECT("'C'!$A$"&amp;MATCH($E860,CL,0)+1)))</f>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ref="X860:X890" si="124">IF(AND(C860="Smelter not listed",OR(LEN(D860)=0,LEN(E860)=0)),1,0)</f>
        <v>0</v>
      </c>
      <c r="Y860" s="263"/>
      <c r="Z860" s="263"/>
      <c r="AB860" s="265" t="str">
        <f t="shared" ref="AB860:AB890" si="125">B860&amp;C860</f>
        <v/>
      </c>
    </row>
    <row r="861" spans="1:28" s="264" customFormat="1" ht="20.399999999999999">
      <c r="A861" s="207"/>
      <c r="B861" s="208"/>
      <c r="C861" s="212"/>
      <c r="D861" s="270"/>
      <c r="E861" s="208"/>
      <c r="F861" s="208"/>
      <c r="G861" s="208"/>
      <c r="H861" s="209"/>
      <c r="I861" s="210"/>
      <c r="J861" s="210"/>
      <c r="K861" s="260"/>
      <c r="L861" s="260"/>
      <c r="M861" s="260"/>
      <c r="N861" s="260"/>
      <c r="O861" s="260"/>
      <c r="P861" s="211"/>
      <c r="Q861" s="261"/>
      <c r="R861" s="208" t="str">
        <f ca="1">IF(ISERROR($V861),"",OFFSET('Smelter Look-up'!$C$4,$V861-4,0)&amp;"")</f>
        <v/>
      </c>
      <c r="S861" s="215" t="str">
        <f t="shared" ca="1" si="123"/>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si="124"/>
        <v>0</v>
      </c>
      <c r="Y861" s="263"/>
      <c r="Z861" s="263"/>
      <c r="AB861" s="265" t="str">
        <f t="shared" si="125"/>
        <v/>
      </c>
    </row>
    <row r="862" spans="1:28" s="264" customFormat="1" ht="20.399999999999999">
      <c r="A862" s="207"/>
      <c r="B862" s="208"/>
      <c r="C862" s="212"/>
      <c r="D862" s="270"/>
      <c r="E862" s="208"/>
      <c r="F862" s="208"/>
      <c r="G862" s="208"/>
      <c r="H862" s="209"/>
      <c r="I862" s="210"/>
      <c r="J862" s="210"/>
      <c r="K862" s="260"/>
      <c r="L862" s="260"/>
      <c r="M862" s="260"/>
      <c r="N862" s="260"/>
      <c r="O862" s="260"/>
      <c r="P862" s="211"/>
      <c r="Q862" s="261"/>
      <c r="R862" s="208" t="str">
        <f ca="1">IF(ISERROR($V862),"",OFFSET('Smelter Look-up'!$C$4,$V862-4,0)&amp;"")</f>
        <v/>
      </c>
      <c r="S862" s="215" t="str">
        <f t="shared" ca="1" si="123"/>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si="124"/>
        <v>0</v>
      </c>
      <c r="Y862" s="263"/>
      <c r="Z862" s="263"/>
      <c r="AB862" s="265" t="str">
        <f t="shared" si="125"/>
        <v/>
      </c>
    </row>
    <row r="863" spans="1:28" s="264" customFormat="1" ht="20.399999999999999">
      <c r="A863" s="207"/>
      <c r="B863" s="208"/>
      <c r="C863" s="212"/>
      <c r="D863" s="270"/>
      <c r="E863" s="208"/>
      <c r="F863" s="208"/>
      <c r="G863" s="208"/>
      <c r="H863" s="209"/>
      <c r="I863" s="210"/>
      <c r="J863" s="210"/>
      <c r="K863" s="260"/>
      <c r="L863" s="260"/>
      <c r="M863" s="260"/>
      <c r="N863" s="260"/>
      <c r="O863" s="260"/>
      <c r="P863" s="211"/>
      <c r="Q863" s="261"/>
      <c r="R863" s="208" t="str">
        <f ca="1">IF(ISERROR($V863),"",OFFSET('Smelter Look-up'!$C$4,$V863-4,0)&amp;"")</f>
        <v/>
      </c>
      <c r="S863" s="215" t="str">
        <f t="shared" ca="1" si="123"/>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si="124"/>
        <v>0</v>
      </c>
      <c r="Y863" s="263"/>
      <c r="Z863" s="263"/>
      <c r="AB863" s="265" t="str">
        <f t="shared" si="125"/>
        <v/>
      </c>
    </row>
    <row r="864" spans="1:28" s="264" customFormat="1" ht="20.399999999999999">
      <c r="A864" s="207"/>
      <c r="B864" s="208"/>
      <c r="C864" s="212"/>
      <c r="D864" s="270"/>
      <c r="E864" s="208"/>
      <c r="F864" s="208"/>
      <c r="G864" s="208"/>
      <c r="H864" s="209"/>
      <c r="I864" s="210"/>
      <c r="J864" s="210"/>
      <c r="K864" s="260"/>
      <c r="L864" s="260"/>
      <c r="M864" s="260"/>
      <c r="N864" s="260"/>
      <c r="O864" s="260"/>
      <c r="P864" s="211"/>
      <c r="Q864" s="261"/>
      <c r="R864" s="208" t="str">
        <f ca="1">IF(ISERROR($V864),"",OFFSET('Smelter Look-up'!$C$4,$V864-4,0)&amp;"")</f>
        <v/>
      </c>
      <c r="S864" s="215" t="str">
        <f t="shared" ca="1" si="123"/>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si="124"/>
        <v>0</v>
      </c>
      <c r="Y864" s="263"/>
      <c r="Z864" s="263"/>
      <c r="AB864" s="265" t="str">
        <f t="shared" si="125"/>
        <v/>
      </c>
    </row>
    <row r="865" spans="1:28" s="264" customFormat="1" ht="20.399999999999999">
      <c r="A865" s="207"/>
      <c r="B865" s="208"/>
      <c r="C865" s="212"/>
      <c r="D865" s="270"/>
      <c r="E865" s="208"/>
      <c r="F865" s="208"/>
      <c r="G865" s="208"/>
      <c r="H865" s="209"/>
      <c r="I865" s="210"/>
      <c r="J865" s="210"/>
      <c r="K865" s="260"/>
      <c r="L865" s="260"/>
      <c r="M865" s="260"/>
      <c r="N865" s="260"/>
      <c r="O865" s="260"/>
      <c r="P865" s="211"/>
      <c r="Q865" s="261"/>
      <c r="R865" s="208" t="str">
        <f ca="1">IF(ISERROR($V865),"",OFFSET('Smelter Look-up'!$C$4,$V865-4,0)&amp;"")</f>
        <v/>
      </c>
      <c r="S865" s="215" t="str">
        <f t="shared" ca="1" si="123"/>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si="124"/>
        <v>0</v>
      </c>
      <c r="Y865" s="263"/>
      <c r="Z865" s="263"/>
      <c r="AB865" s="265" t="str">
        <f t="shared" si="125"/>
        <v/>
      </c>
    </row>
    <row r="866" spans="1:28" s="264" customFormat="1" ht="20.399999999999999">
      <c r="A866" s="207"/>
      <c r="B866" s="208"/>
      <c r="C866" s="212"/>
      <c r="D866" s="270"/>
      <c r="E866" s="208"/>
      <c r="F866" s="208"/>
      <c r="G866" s="208"/>
      <c r="H866" s="209"/>
      <c r="I866" s="210"/>
      <c r="J866" s="210"/>
      <c r="K866" s="260"/>
      <c r="L866" s="260"/>
      <c r="M866" s="260"/>
      <c r="N866" s="260"/>
      <c r="O866" s="260"/>
      <c r="P866" s="211"/>
      <c r="Q866" s="261"/>
      <c r="R866" s="208" t="str">
        <f ca="1">IF(ISERROR($V866),"",OFFSET('Smelter Look-up'!$C$4,$V866-4,0)&amp;"")</f>
        <v/>
      </c>
      <c r="S866" s="215" t="str">
        <f t="shared" ca="1" si="123"/>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si="124"/>
        <v>0</v>
      </c>
      <c r="Y866" s="263"/>
      <c r="Z866" s="263"/>
      <c r="AB866" s="265" t="str">
        <f t="shared" si="125"/>
        <v/>
      </c>
    </row>
    <row r="867" spans="1:28" s="264" customFormat="1" ht="20.399999999999999">
      <c r="A867" s="207"/>
      <c r="B867" s="208"/>
      <c r="C867" s="212"/>
      <c r="D867" s="270"/>
      <c r="E867" s="208"/>
      <c r="F867" s="208"/>
      <c r="G867" s="208"/>
      <c r="H867" s="209"/>
      <c r="I867" s="210"/>
      <c r="J867" s="210"/>
      <c r="K867" s="260"/>
      <c r="L867" s="260"/>
      <c r="M867" s="260"/>
      <c r="N867" s="260"/>
      <c r="O867" s="260"/>
      <c r="P867" s="211"/>
      <c r="Q867" s="261"/>
      <c r="R867" s="208" t="str">
        <f ca="1">IF(ISERROR($V867),"",OFFSET('Smelter Look-up'!$C$4,$V867-4,0)&amp;"")</f>
        <v/>
      </c>
      <c r="S867" s="215" t="str">
        <f t="shared" ca="1" si="123"/>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si="124"/>
        <v>0</v>
      </c>
      <c r="Y867" s="263"/>
      <c r="Z867" s="263"/>
      <c r="AB867" s="265" t="str">
        <f t="shared" si="125"/>
        <v/>
      </c>
    </row>
    <row r="868" spans="1:28" s="264" customFormat="1" ht="20.399999999999999">
      <c r="A868" s="207"/>
      <c r="B868" s="208"/>
      <c r="C868" s="212"/>
      <c r="D868" s="270"/>
      <c r="E868" s="208"/>
      <c r="F868" s="208"/>
      <c r="G868" s="208"/>
      <c r="H868" s="209"/>
      <c r="I868" s="210"/>
      <c r="J868" s="210"/>
      <c r="K868" s="260"/>
      <c r="L868" s="260"/>
      <c r="M868" s="260"/>
      <c r="N868" s="260"/>
      <c r="O868" s="260"/>
      <c r="P868" s="211"/>
      <c r="Q868" s="261"/>
      <c r="R868" s="208" t="str">
        <f ca="1">IF(ISERROR($V868),"",OFFSET('Smelter Look-up'!$C$4,$V868-4,0)&amp;"")</f>
        <v/>
      </c>
      <c r="S868" s="215" t="str">
        <f t="shared" ca="1" si="123"/>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si="124"/>
        <v>0</v>
      </c>
      <c r="Y868" s="263"/>
      <c r="Z868" s="263"/>
      <c r="AB868" s="265" t="str">
        <f t="shared" si="125"/>
        <v/>
      </c>
    </row>
    <row r="869" spans="1:28" s="264" customFormat="1" ht="20.399999999999999">
      <c r="A869" s="207"/>
      <c r="B869" s="208"/>
      <c r="C869" s="212"/>
      <c r="D869" s="270"/>
      <c r="E869" s="208"/>
      <c r="F869" s="208"/>
      <c r="G869" s="208"/>
      <c r="H869" s="209"/>
      <c r="I869" s="210"/>
      <c r="J869" s="210"/>
      <c r="K869" s="260"/>
      <c r="L869" s="260"/>
      <c r="M869" s="260"/>
      <c r="N869" s="260"/>
      <c r="O869" s="260"/>
      <c r="P869" s="211"/>
      <c r="Q869" s="261"/>
      <c r="R869" s="208" t="str">
        <f ca="1">IF(ISERROR($V869),"",OFFSET('Smelter Look-up'!$C$4,$V869-4,0)&amp;"")</f>
        <v/>
      </c>
      <c r="S869" s="215" t="str">
        <f t="shared" ca="1" si="123"/>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si="124"/>
        <v>0</v>
      </c>
      <c r="Y869" s="263"/>
      <c r="Z869" s="263"/>
      <c r="AB869" s="265" t="str">
        <f t="shared" si="125"/>
        <v/>
      </c>
    </row>
    <row r="870" spans="1:28" s="264" customFormat="1" ht="20.399999999999999">
      <c r="A870" s="207"/>
      <c r="B870" s="208"/>
      <c r="C870" s="212"/>
      <c r="D870" s="270"/>
      <c r="E870" s="208"/>
      <c r="F870" s="208"/>
      <c r="G870" s="208"/>
      <c r="H870" s="209"/>
      <c r="I870" s="210"/>
      <c r="J870" s="210"/>
      <c r="K870" s="260"/>
      <c r="L870" s="260"/>
      <c r="M870" s="260"/>
      <c r="N870" s="260"/>
      <c r="O870" s="260"/>
      <c r="P870" s="211"/>
      <c r="Q870" s="261"/>
      <c r="R870" s="208" t="str">
        <f ca="1">IF(ISERROR($V870),"",OFFSET('Smelter Look-up'!$C$4,$V870-4,0)&amp;"")</f>
        <v/>
      </c>
      <c r="S870" s="215" t="str">
        <f t="shared" ca="1" si="123"/>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si="124"/>
        <v>0</v>
      </c>
      <c r="Y870" s="263"/>
      <c r="Z870" s="263"/>
      <c r="AB870" s="265" t="str">
        <f t="shared" si="125"/>
        <v/>
      </c>
    </row>
    <row r="871" spans="1:28" s="264" customFormat="1" ht="20.399999999999999">
      <c r="A871" s="207"/>
      <c r="B871" s="208"/>
      <c r="C871" s="212"/>
      <c r="D871" s="270"/>
      <c r="E871" s="208"/>
      <c r="F871" s="208"/>
      <c r="G871" s="208"/>
      <c r="H871" s="209"/>
      <c r="I871" s="210"/>
      <c r="J871" s="210"/>
      <c r="K871" s="260"/>
      <c r="L871" s="260"/>
      <c r="M871" s="260"/>
      <c r="N871" s="260"/>
      <c r="O871" s="260"/>
      <c r="P871" s="211"/>
      <c r="Q871" s="261"/>
      <c r="R871" s="208" t="str">
        <f ca="1">IF(ISERROR($V871),"",OFFSET('Smelter Look-up'!$C$4,$V871-4,0)&amp;"")</f>
        <v/>
      </c>
      <c r="S871" s="215" t="str">
        <f t="shared" ca="1" si="123"/>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si="124"/>
        <v>0</v>
      </c>
      <c r="Y871" s="263"/>
      <c r="Z871" s="263"/>
      <c r="AB871" s="265" t="str">
        <f t="shared" si="125"/>
        <v/>
      </c>
    </row>
    <row r="872" spans="1:28" s="264" customFormat="1" ht="20.399999999999999">
      <c r="A872" s="207"/>
      <c r="B872" s="208"/>
      <c r="C872" s="212"/>
      <c r="D872" s="270"/>
      <c r="E872" s="208"/>
      <c r="F872" s="208"/>
      <c r="G872" s="208"/>
      <c r="H872" s="209"/>
      <c r="I872" s="210"/>
      <c r="J872" s="210"/>
      <c r="K872" s="260"/>
      <c r="L872" s="260"/>
      <c r="M872" s="260"/>
      <c r="N872" s="260"/>
      <c r="O872" s="260"/>
      <c r="P872" s="211"/>
      <c r="Q872" s="261"/>
      <c r="R872" s="208" t="str">
        <f ca="1">IF(ISERROR($V872),"",OFFSET('Smelter Look-up'!$C$4,$V872-4,0)&amp;"")</f>
        <v/>
      </c>
      <c r="S872" s="215" t="str">
        <f t="shared" ca="1" si="123"/>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si="124"/>
        <v>0</v>
      </c>
      <c r="Y872" s="263"/>
      <c r="Z872" s="263"/>
      <c r="AB872" s="265" t="str">
        <f t="shared" si="125"/>
        <v/>
      </c>
    </row>
    <row r="873" spans="1:28" s="264" customFormat="1" ht="20.399999999999999">
      <c r="A873" s="207"/>
      <c r="B873" s="208"/>
      <c r="C873" s="212"/>
      <c r="D873" s="270"/>
      <c r="E873" s="208"/>
      <c r="F873" s="208"/>
      <c r="G873" s="208"/>
      <c r="H873" s="209"/>
      <c r="I873" s="210"/>
      <c r="J873" s="210"/>
      <c r="K873" s="260"/>
      <c r="L873" s="260"/>
      <c r="M873" s="260"/>
      <c r="N873" s="260"/>
      <c r="O873" s="260"/>
      <c r="P873" s="211"/>
      <c r="Q873" s="261"/>
      <c r="R873" s="208" t="str">
        <f ca="1">IF(ISERROR($V873),"",OFFSET('Smelter Look-up'!$C$4,$V873-4,0)&amp;"")</f>
        <v/>
      </c>
      <c r="S873" s="215" t="str">
        <f t="shared" ca="1" si="123"/>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si="124"/>
        <v>0</v>
      </c>
      <c r="Y873" s="263"/>
      <c r="Z873" s="263"/>
      <c r="AB873" s="265" t="str">
        <f t="shared" si="125"/>
        <v/>
      </c>
    </row>
    <row r="874" spans="1:28" s="264" customFormat="1" ht="20.399999999999999">
      <c r="A874" s="207"/>
      <c r="B874" s="208"/>
      <c r="C874" s="212"/>
      <c r="D874" s="270"/>
      <c r="E874" s="208"/>
      <c r="F874" s="208"/>
      <c r="G874" s="208"/>
      <c r="H874" s="209"/>
      <c r="I874" s="210"/>
      <c r="J874" s="210"/>
      <c r="K874" s="260"/>
      <c r="L874" s="260"/>
      <c r="M874" s="260"/>
      <c r="N874" s="260"/>
      <c r="O874" s="260"/>
      <c r="P874" s="211"/>
      <c r="Q874" s="261"/>
      <c r="R874" s="208" t="str">
        <f ca="1">IF(ISERROR($V874),"",OFFSET('Smelter Look-up'!$C$4,$V874-4,0)&amp;"")</f>
        <v/>
      </c>
      <c r="S874" s="215" t="str">
        <f t="shared" ca="1" si="123"/>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si="124"/>
        <v>0</v>
      </c>
      <c r="Y874" s="263"/>
      <c r="Z874" s="263"/>
      <c r="AB874" s="265" t="str">
        <f t="shared" si="125"/>
        <v/>
      </c>
    </row>
    <row r="875" spans="1:28" s="264" customFormat="1" ht="20.399999999999999">
      <c r="A875" s="207"/>
      <c r="B875" s="208"/>
      <c r="C875" s="212"/>
      <c r="D875" s="270"/>
      <c r="E875" s="208"/>
      <c r="F875" s="208"/>
      <c r="G875" s="208"/>
      <c r="H875" s="209"/>
      <c r="I875" s="210"/>
      <c r="J875" s="210"/>
      <c r="K875" s="260"/>
      <c r="L875" s="260"/>
      <c r="M875" s="260"/>
      <c r="N875" s="260"/>
      <c r="O875" s="260"/>
      <c r="P875" s="211"/>
      <c r="Q875" s="261"/>
      <c r="R875" s="208" t="str">
        <f ca="1">IF(ISERROR($V875),"",OFFSET('Smelter Look-up'!$C$4,$V875-4,0)&amp;"")</f>
        <v/>
      </c>
      <c r="S875" s="215" t="str">
        <f t="shared" ca="1" si="123"/>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si="124"/>
        <v>0</v>
      </c>
      <c r="Y875" s="263"/>
      <c r="Z875" s="263"/>
      <c r="AB875" s="265" t="str">
        <f t="shared" si="125"/>
        <v/>
      </c>
    </row>
    <row r="876" spans="1:28" s="264" customFormat="1" ht="20.399999999999999">
      <c r="A876" s="207"/>
      <c r="B876" s="208"/>
      <c r="C876" s="212"/>
      <c r="D876" s="270"/>
      <c r="E876" s="208"/>
      <c r="F876" s="208"/>
      <c r="G876" s="208"/>
      <c r="H876" s="209"/>
      <c r="I876" s="210"/>
      <c r="J876" s="210"/>
      <c r="K876" s="260"/>
      <c r="L876" s="260"/>
      <c r="M876" s="260"/>
      <c r="N876" s="260"/>
      <c r="O876" s="260"/>
      <c r="P876" s="211"/>
      <c r="Q876" s="261"/>
      <c r="R876" s="208" t="str">
        <f ca="1">IF(ISERROR($V876),"",OFFSET('Smelter Look-up'!$C$4,$V876-4,0)&amp;"")</f>
        <v/>
      </c>
      <c r="S876" s="215" t="str">
        <f t="shared" ca="1" si="123"/>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si="124"/>
        <v>0</v>
      </c>
      <c r="Y876" s="263"/>
      <c r="Z876" s="263"/>
      <c r="AB876" s="265" t="str">
        <f t="shared" si="125"/>
        <v/>
      </c>
    </row>
    <row r="877" spans="1:28" s="264" customFormat="1" ht="20.399999999999999">
      <c r="A877" s="207"/>
      <c r="B877" s="208"/>
      <c r="C877" s="212"/>
      <c r="D877" s="270"/>
      <c r="E877" s="208"/>
      <c r="F877" s="208"/>
      <c r="G877" s="208"/>
      <c r="H877" s="209"/>
      <c r="I877" s="210"/>
      <c r="J877" s="210"/>
      <c r="K877" s="260"/>
      <c r="L877" s="260"/>
      <c r="M877" s="260"/>
      <c r="N877" s="260"/>
      <c r="O877" s="260"/>
      <c r="P877" s="211"/>
      <c r="Q877" s="261"/>
      <c r="R877" s="208" t="str">
        <f ca="1">IF(ISERROR($V877),"",OFFSET('Smelter Look-up'!$C$4,$V877-4,0)&amp;"")</f>
        <v/>
      </c>
      <c r="S877" s="215" t="str">
        <f t="shared" ca="1" si="123"/>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si="124"/>
        <v>0</v>
      </c>
      <c r="Y877" s="263"/>
      <c r="Z877" s="263"/>
      <c r="AB877" s="265" t="str">
        <f t="shared" si="125"/>
        <v/>
      </c>
    </row>
    <row r="878" spans="1:28" s="264" customFormat="1" ht="20.399999999999999">
      <c r="A878" s="207"/>
      <c r="B878" s="208"/>
      <c r="C878" s="212"/>
      <c r="D878" s="270"/>
      <c r="E878" s="208"/>
      <c r="F878" s="208"/>
      <c r="G878" s="208"/>
      <c r="H878" s="209"/>
      <c r="I878" s="210"/>
      <c r="J878" s="210"/>
      <c r="K878" s="260"/>
      <c r="L878" s="260"/>
      <c r="M878" s="260"/>
      <c r="N878" s="260"/>
      <c r="O878" s="260"/>
      <c r="P878" s="211"/>
      <c r="Q878" s="261"/>
      <c r="R878" s="208" t="str">
        <f ca="1">IF(ISERROR($V878),"",OFFSET('Smelter Look-up'!$C$4,$V878-4,0)&amp;"")</f>
        <v/>
      </c>
      <c r="S878" s="215" t="str">
        <f t="shared" ca="1" si="123"/>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si="124"/>
        <v>0</v>
      </c>
      <c r="Y878" s="263"/>
      <c r="Z878" s="263"/>
      <c r="AB878" s="265" t="str">
        <f t="shared" si="125"/>
        <v/>
      </c>
    </row>
    <row r="879" spans="1:28" s="264" customFormat="1" ht="20.399999999999999">
      <c r="A879" s="207"/>
      <c r="B879" s="208"/>
      <c r="C879" s="212"/>
      <c r="D879" s="270"/>
      <c r="E879" s="208"/>
      <c r="F879" s="208"/>
      <c r="G879" s="208"/>
      <c r="H879" s="209"/>
      <c r="I879" s="210"/>
      <c r="J879" s="210"/>
      <c r="K879" s="260"/>
      <c r="L879" s="260"/>
      <c r="M879" s="260"/>
      <c r="N879" s="260"/>
      <c r="O879" s="260"/>
      <c r="P879" s="211"/>
      <c r="Q879" s="261"/>
      <c r="R879" s="208" t="str">
        <f ca="1">IF(ISERROR($V879),"",OFFSET('Smelter Look-up'!$C$4,$V879-4,0)&amp;"")</f>
        <v/>
      </c>
      <c r="S879" s="215" t="str">
        <f t="shared" ca="1" si="123"/>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si="124"/>
        <v>0</v>
      </c>
      <c r="Y879" s="263"/>
      <c r="Z879" s="263"/>
      <c r="AB879" s="265" t="str">
        <f t="shared" si="125"/>
        <v/>
      </c>
    </row>
    <row r="880" spans="1:28" s="264" customFormat="1" ht="20.399999999999999">
      <c r="A880" s="207"/>
      <c r="B880" s="208"/>
      <c r="C880" s="212"/>
      <c r="D880" s="270"/>
      <c r="E880" s="208"/>
      <c r="F880" s="208"/>
      <c r="G880" s="208"/>
      <c r="H880" s="209"/>
      <c r="I880" s="210"/>
      <c r="J880" s="210"/>
      <c r="K880" s="260"/>
      <c r="L880" s="260"/>
      <c r="M880" s="260"/>
      <c r="N880" s="260"/>
      <c r="O880" s="260"/>
      <c r="P880" s="211"/>
      <c r="Q880" s="261"/>
      <c r="R880" s="208" t="str">
        <f ca="1">IF(ISERROR($V880),"",OFFSET('Smelter Look-up'!$C$4,$V880-4,0)&amp;"")</f>
        <v/>
      </c>
      <c r="S880" s="215" t="str">
        <f t="shared" ca="1" si="123"/>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si="124"/>
        <v>0</v>
      </c>
      <c r="Y880" s="263"/>
      <c r="Z880" s="263"/>
      <c r="AB880" s="265" t="str">
        <f t="shared" si="125"/>
        <v/>
      </c>
    </row>
    <row r="881" spans="1:28" s="264" customFormat="1" ht="20.399999999999999">
      <c r="A881" s="207"/>
      <c r="B881" s="208"/>
      <c r="C881" s="212"/>
      <c r="D881" s="270"/>
      <c r="E881" s="208"/>
      <c r="F881" s="208"/>
      <c r="G881" s="208"/>
      <c r="H881" s="209"/>
      <c r="I881" s="210"/>
      <c r="J881" s="210"/>
      <c r="K881" s="260"/>
      <c r="L881" s="260"/>
      <c r="M881" s="260"/>
      <c r="N881" s="260"/>
      <c r="O881" s="260"/>
      <c r="P881" s="211"/>
      <c r="Q881" s="261"/>
      <c r="R881" s="208" t="str">
        <f ca="1">IF(ISERROR($V881),"",OFFSET('Smelter Look-up'!$C$4,$V881-4,0)&amp;"")</f>
        <v/>
      </c>
      <c r="S881" s="215" t="str">
        <f t="shared" ca="1" si="123"/>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si="124"/>
        <v>0</v>
      </c>
      <c r="Y881" s="263"/>
      <c r="Z881" s="263"/>
      <c r="AB881" s="265" t="str">
        <f t="shared" si="125"/>
        <v/>
      </c>
    </row>
    <row r="882" spans="1:28" s="264" customFormat="1" ht="20.399999999999999">
      <c r="A882" s="207"/>
      <c r="B882" s="208"/>
      <c r="C882" s="212"/>
      <c r="D882" s="270"/>
      <c r="E882" s="208"/>
      <c r="F882" s="208"/>
      <c r="G882" s="208"/>
      <c r="H882" s="209"/>
      <c r="I882" s="210"/>
      <c r="J882" s="210"/>
      <c r="K882" s="260"/>
      <c r="L882" s="260"/>
      <c r="M882" s="260"/>
      <c r="N882" s="260"/>
      <c r="O882" s="260"/>
      <c r="P882" s="211"/>
      <c r="Q882" s="261"/>
      <c r="R882" s="208" t="str">
        <f ca="1">IF(ISERROR($V882),"",OFFSET('Smelter Look-up'!$C$4,$V882-4,0)&amp;"")</f>
        <v/>
      </c>
      <c r="S882" s="215" t="str">
        <f t="shared" ca="1" si="123"/>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si="124"/>
        <v>0</v>
      </c>
      <c r="Y882" s="263"/>
      <c r="Z882" s="263"/>
      <c r="AB882" s="265" t="str">
        <f t="shared" si="125"/>
        <v/>
      </c>
    </row>
    <row r="883" spans="1:28" s="264" customFormat="1" ht="20.399999999999999">
      <c r="A883" s="207"/>
      <c r="B883" s="208"/>
      <c r="C883" s="212"/>
      <c r="D883" s="270"/>
      <c r="E883" s="208"/>
      <c r="F883" s="208"/>
      <c r="G883" s="208"/>
      <c r="H883" s="209"/>
      <c r="I883" s="210"/>
      <c r="J883" s="210"/>
      <c r="K883" s="260"/>
      <c r="L883" s="260"/>
      <c r="M883" s="260"/>
      <c r="N883" s="260"/>
      <c r="O883" s="260"/>
      <c r="P883" s="211"/>
      <c r="Q883" s="261"/>
      <c r="R883" s="208" t="str">
        <f ca="1">IF(ISERROR($V883),"",OFFSET('Smelter Look-up'!$C$4,$V883-4,0)&amp;"")</f>
        <v/>
      </c>
      <c r="S883" s="215" t="str">
        <f t="shared" ca="1" si="123"/>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si="124"/>
        <v>0</v>
      </c>
      <c r="Y883" s="263"/>
      <c r="Z883" s="263"/>
      <c r="AB883" s="265" t="str">
        <f t="shared" si="125"/>
        <v/>
      </c>
    </row>
    <row r="884" spans="1:28" s="264" customFormat="1" ht="20.399999999999999">
      <c r="A884" s="207"/>
      <c r="B884" s="208"/>
      <c r="C884" s="212"/>
      <c r="D884" s="270"/>
      <c r="E884" s="208"/>
      <c r="F884" s="208"/>
      <c r="G884" s="208"/>
      <c r="H884" s="209"/>
      <c r="I884" s="210"/>
      <c r="J884" s="210"/>
      <c r="K884" s="260"/>
      <c r="L884" s="260"/>
      <c r="M884" s="260"/>
      <c r="N884" s="260"/>
      <c r="O884" s="260"/>
      <c r="P884" s="211"/>
      <c r="Q884" s="261"/>
      <c r="R884" s="208" t="str">
        <f ca="1">IF(ISERROR($V884),"",OFFSET('Smelter Look-up'!$C$4,$V884-4,0)&amp;"")</f>
        <v/>
      </c>
      <c r="S884" s="215" t="str">
        <f t="shared" ca="1" si="123"/>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si="124"/>
        <v>0</v>
      </c>
      <c r="Y884" s="263"/>
      <c r="Z884" s="263"/>
      <c r="AB884" s="265" t="str">
        <f t="shared" si="125"/>
        <v/>
      </c>
    </row>
    <row r="885" spans="1:28" s="264" customFormat="1" ht="20.399999999999999">
      <c r="A885" s="207"/>
      <c r="B885" s="208"/>
      <c r="C885" s="212"/>
      <c r="D885" s="270"/>
      <c r="E885" s="208"/>
      <c r="F885" s="208"/>
      <c r="G885" s="208"/>
      <c r="H885" s="209"/>
      <c r="I885" s="210"/>
      <c r="J885" s="210"/>
      <c r="K885" s="260"/>
      <c r="L885" s="260"/>
      <c r="M885" s="260"/>
      <c r="N885" s="260"/>
      <c r="O885" s="260"/>
      <c r="P885" s="211"/>
      <c r="Q885" s="261"/>
      <c r="R885" s="208" t="str">
        <f ca="1">IF(ISERROR($V885),"",OFFSET('Smelter Look-up'!$C$4,$V885-4,0)&amp;"")</f>
        <v/>
      </c>
      <c r="S885" s="215" t="str">
        <f t="shared" ca="1" si="123"/>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si="124"/>
        <v>0</v>
      </c>
      <c r="Y885" s="263"/>
      <c r="Z885" s="263"/>
      <c r="AB885" s="265" t="str">
        <f t="shared" si="125"/>
        <v/>
      </c>
    </row>
    <row r="886" spans="1:28" s="264" customFormat="1" ht="20.399999999999999">
      <c r="A886" s="207"/>
      <c r="B886" s="208"/>
      <c r="C886" s="212"/>
      <c r="D886" s="270"/>
      <c r="E886" s="208"/>
      <c r="F886" s="208"/>
      <c r="G886" s="208"/>
      <c r="H886" s="209"/>
      <c r="I886" s="210"/>
      <c r="J886" s="210"/>
      <c r="K886" s="260"/>
      <c r="L886" s="260"/>
      <c r="M886" s="260"/>
      <c r="N886" s="260"/>
      <c r="O886" s="260"/>
      <c r="P886" s="211"/>
      <c r="Q886" s="261"/>
      <c r="R886" s="208" t="str">
        <f ca="1">IF(ISERROR($V886),"",OFFSET('Smelter Look-up'!$C$4,$V886-4,0)&amp;"")</f>
        <v/>
      </c>
      <c r="S886" s="215" t="str">
        <f t="shared" ca="1" si="123"/>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si="124"/>
        <v>0</v>
      </c>
      <c r="Y886" s="263"/>
      <c r="Z886" s="263"/>
      <c r="AB886" s="265" t="str">
        <f t="shared" si="125"/>
        <v/>
      </c>
    </row>
    <row r="887" spans="1:28" s="264" customFormat="1" ht="20.399999999999999">
      <c r="A887" s="207"/>
      <c r="B887" s="208"/>
      <c r="C887" s="212"/>
      <c r="D887" s="270"/>
      <c r="E887" s="208"/>
      <c r="F887" s="208"/>
      <c r="G887" s="208"/>
      <c r="H887" s="209"/>
      <c r="I887" s="210"/>
      <c r="J887" s="210"/>
      <c r="K887" s="260"/>
      <c r="L887" s="260"/>
      <c r="M887" s="260"/>
      <c r="N887" s="260"/>
      <c r="O887" s="260"/>
      <c r="P887" s="211"/>
      <c r="Q887" s="261"/>
      <c r="R887" s="208" t="str">
        <f ca="1">IF(ISERROR($V887),"",OFFSET('Smelter Look-up'!$C$4,$V887-4,0)&amp;"")</f>
        <v/>
      </c>
      <c r="S887" s="215" t="str">
        <f t="shared" ca="1" si="123"/>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si="124"/>
        <v>0</v>
      </c>
      <c r="Y887" s="263"/>
      <c r="Z887" s="263"/>
      <c r="AB887" s="265" t="str">
        <f t="shared" si="125"/>
        <v/>
      </c>
    </row>
    <row r="888" spans="1:28" s="264" customFormat="1" ht="20.399999999999999">
      <c r="A888" s="207"/>
      <c r="B888" s="208"/>
      <c r="C888" s="212"/>
      <c r="D888" s="270"/>
      <c r="E888" s="208"/>
      <c r="F888" s="208"/>
      <c r="G888" s="208"/>
      <c r="H888" s="209"/>
      <c r="I888" s="210"/>
      <c r="J888" s="210"/>
      <c r="K888" s="260"/>
      <c r="L888" s="260"/>
      <c r="M888" s="260"/>
      <c r="N888" s="260"/>
      <c r="O888" s="260"/>
      <c r="P888" s="211"/>
      <c r="Q888" s="261"/>
      <c r="R888" s="208" t="str">
        <f ca="1">IF(ISERROR($V888),"",OFFSET('Smelter Look-up'!$C$4,$V888-4,0)&amp;"")</f>
        <v/>
      </c>
      <c r="S888" s="215" t="str">
        <f t="shared" ca="1" si="123"/>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si="124"/>
        <v>0</v>
      </c>
      <c r="Y888" s="263"/>
      <c r="Z888" s="263"/>
      <c r="AB888" s="265" t="str">
        <f t="shared" si="125"/>
        <v/>
      </c>
    </row>
    <row r="889" spans="1:28" s="264" customFormat="1" ht="20.399999999999999">
      <c r="A889" s="207"/>
      <c r="B889" s="208"/>
      <c r="C889" s="212"/>
      <c r="D889" s="270"/>
      <c r="E889" s="208"/>
      <c r="F889" s="208"/>
      <c r="G889" s="208"/>
      <c r="H889" s="209"/>
      <c r="I889" s="210"/>
      <c r="J889" s="210"/>
      <c r="K889" s="260"/>
      <c r="L889" s="260"/>
      <c r="M889" s="260"/>
      <c r="N889" s="260"/>
      <c r="O889" s="260"/>
      <c r="P889" s="211"/>
      <c r="Q889" s="261"/>
      <c r="R889" s="208" t="str">
        <f ca="1">IF(ISERROR($V889),"",OFFSET('Smelter Look-up'!$C$4,$V889-4,0)&amp;"")</f>
        <v/>
      </c>
      <c r="S889" s="215" t="str">
        <f t="shared" ca="1" si="123"/>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si="124"/>
        <v>0</v>
      </c>
      <c r="Y889" s="263"/>
      <c r="Z889" s="263"/>
      <c r="AB889" s="265" t="str">
        <f t="shared" si="125"/>
        <v/>
      </c>
    </row>
    <row r="890" spans="1:28" s="264" customFormat="1" ht="20.399999999999999">
      <c r="A890" s="207"/>
      <c r="B890" s="208"/>
      <c r="C890" s="212"/>
      <c r="D890" s="270"/>
      <c r="E890" s="208"/>
      <c r="F890" s="208"/>
      <c r="G890" s="208"/>
      <c r="H890" s="209"/>
      <c r="I890" s="210"/>
      <c r="J890" s="210"/>
      <c r="K890" s="260"/>
      <c r="L890" s="260"/>
      <c r="M890" s="260"/>
      <c r="N890" s="260"/>
      <c r="O890" s="260"/>
      <c r="P890" s="211"/>
      <c r="Q890" s="261"/>
      <c r="R890" s="208" t="str">
        <f ca="1">IF(ISERROR($V890),"",OFFSET('Smelter Look-up'!$C$4,$V890-4,0)&amp;"")</f>
        <v/>
      </c>
      <c r="S890" s="215" t="str">
        <f t="shared" ca="1" si="123"/>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si="124"/>
        <v>0</v>
      </c>
      <c r="Y890" s="263"/>
      <c r="Z890" s="263"/>
      <c r="AB890" s="265" t="str">
        <f t="shared" si="125"/>
        <v/>
      </c>
    </row>
    <row r="891" spans="1:28" s="264" customFormat="1" ht="20.399999999999999">
      <c r="A891" s="207"/>
      <c r="B891" s="208"/>
      <c r="C891" s="212"/>
      <c r="D891" s="270"/>
      <c r="E891" s="208"/>
      <c r="F891" s="208"/>
      <c r="G891" s="208"/>
      <c r="H891" s="209"/>
      <c r="I891" s="210"/>
      <c r="J891" s="210"/>
      <c r="K891" s="260"/>
      <c r="L891" s="260"/>
      <c r="M891" s="260"/>
      <c r="N891" s="260"/>
      <c r="O891" s="260"/>
      <c r="P891" s="211"/>
      <c r="Q891" s="261"/>
      <c r="R891" s="208" t="str">
        <f ca="1">IF(ISERROR($V891),"",OFFSET('Smelter Look-up'!$C$4,$V891-4,0)&amp;"")</f>
        <v/>
      </c>
      <c r="S891" s="215" t="str">
        <f t="shared" ref="S891" ca="1" si="126">IF(B891="","",IF(ISERROR(MATCH($E891,CL,0)),"Unknown",INDIRECT("'C'!$A$"&amp;MATCH($E891,CL,0)+1)))</f>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ref="X891" si="127">IF(AND(C891="Smelter not listed",OR(LEN(D891)=0,LEN(E891)=0)),1,0)</f>
        <v>0</v>
      </c>
      <c r="Y891" s="263"/>
      <c r="Z891" s="263"/>
      <c r="AB891" s="265" t="str">
        <f t="shared" ref="AB891" si="128">B891&amp;C891</f>
        <v/>
      </c>
    </row>
    <row r="892" spans="1:28" s="264" customFormat="1" ht="20.399999999999999">
      <c r="A892" s="207"/>
      <c r="B892" s="208"/>
      <c r="C892" s="212"/>
      <c r="D892" s="270"/>
      <c r="E892" s="208"/>
      <c r="F892" s="208"/>
      <c r="G892" s="208"/>
      <c r="H892" s="209"/>
      <c r="I892" s="210"/>
      <c r="J892" s="210"/>
      <c r="K892" s="260"/>
      <c r="L892" s="260"/>
      <c r="M892" s="260"/>
      <c r="N892" s="260"/>
      <c r="O892" s="260"/>
      <c r="P892" s="211"/>
      <c r="Q892" s="261"/>
      <c r="R892" s="208" t="str">
        <f ca="1">IF(ISERROR($V892),"",OFFSET('Smelter Look-up'!$C$4,$V892-4,0)&amp;"")</f>
        <v/>
      </c>
      <c r="S892" s="215" t="str">
        <f t="shared" ref="S892:S923" ca="1" si="129">IF(B892="","",IF(ISERROR(MATCH($E892,CL,0)),"Unknown",INDIRECT("'C'!$A$"&amp;MATCH($E892,CL,0)+1)))</f>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ref="X892:X923" si="130">IF(AND(C892="Smelter not listed",OR(LEN(D892)=0,LEN(E892)=0)),1,0)</f>
        <v>0</v>
      </c>
      <c r="Y892" s="263"/>
      <c r="Z892" s="263"/>
      <c r="AB892" s="265" t="str">
        <f t="shared" ref="AB892:AB923" si="131">B892&amp;C892</f>
        <v/>
      </c>
    </row>
    <row r="893" spans="1:28" s="264" customFormat="1" ht="20.399999999999999">
      <c r="A893" s="207"/>
      <c r="B893" s="208"/>
      <c r="C893" s="212"/>
      <c r="D893" s="270"/>
      <c r="E893" s="208"/>
      <c r="F893" s="208"/>
      <c r="G893" s="208"/>
      <c r="H893" s="209"/>
      <c r="I893" s="210"/>
      <c r="J893" s="210"/>
      <c r="K893" s="260"/>
      <c r="L893" s="260"/>
      <c r="M893" s="260"/>
      <c r="N893" s="260"/>
      <c r="O893" s="260"/>
      <c r="P893" s="211"/>
      <c r="Q893" s="261"/>
      <c r="R893" s="208" t="str">
        <f ca="1">IF(ISERROR($V893),"",OFFSET('Smelter Look-up'!$C$4,$V893-4,0)&amp;"")</f>
        <v/>
      </c>
      <c r="S893" s="215" t="str">
        <f t="shared" ca="1" si="129"/>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si="130"/>
        <v>0</v>
      </c>
      <c r="Y893" s="263"/>
      <c r="Z893" s="263"/>
      <c r="AB893" s="265" t="str">
        <f t="shared" si="131"/>
        <v/>
      </c>
    </row>
    <row r="894" spans="1:28" s="264" customFormat="1" ht="20.399999999999999">
      <c r="A894" s="207"/>
      <c r="B894" s="208"/>
      <c r="C894" s="212"/>
      <c r="D894" s="270"/>
      <c r="E894" s="208"/>
      <c r="F894" s="208"/>
      <c r="G894" s="208"/>
      <c r="H894" s="209"/>
      <c r="I894" s="210"/>
      <c r="J894" s="210"/>
      <c r="K894" s="260"/>
      <c r="L894" s="260"/>
      <c r="M894" s="260"/>
      <c r="N894" s="260"/>
      <c r="O894" s="260"/>
      <c r="P894" s="211"/>
      <c r="Q894" s="261"/>
      <c r="R894" s="208" t="str">
        <f ca="1">IF(ISERROR($V894),"",OFFSET('Smelter Look-up'!$C$4,$V894-4,0)&amp;"")</f>
        <v/>
      </c>
      <c r="S894" s="215" t="str">
        <f t="shared" ca="1" si="129"/>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si="130"/>
        <v>0</v>
      </c>
      <c r="Y894" s="263"/>
      <c r="Z894" s="263"/>
      <c r="AB894" s="265" t="str">
        <f t="shared" si="131"/>
        <v/>
      </c>
    </row>
    <row r="895" spans="1:28" s="264" customFormat="1" ht="20.399999999999999">
      <c r="A895" s="207"/>
      <c r="B895" s="208"/>
      <c r="C895" s="212"/>
      <c r="D895" s="270"/>
      <c r="E895" s="208"/>
      <c r="F895" s="208"/>
      <c r="G895" s="208"/>
      <c r="H895" s="209"/>
      <c r="I895" s="210"/>
      <c r="J895" s="210"/>
      <c r="K895" s="260"/>
      <c r="L895" s="260"/>
      <c r="M895" s="260"/>
      <c r="N895" s="260"/>
      <c r="O895" s="260"/>
      <c r="P895" s="211"/>
      <c r="Q895" s="261"/>
      <c r="R895" s="208" t="str">
        <f ca="1">IF(ISERROR($V895),"",OFFSET('Smelter Look-up'!$C$4,$V895-4,0)&amp;"")</f>
        <v/>
      </c>
      <c r="S895" s="215" t="str">
        <f t="shared" ca="1" si="129"/>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si="130"/>
        <v>0</v>
      </c>
      <c r="Y895" s="263"/>
      <c r="Z895" s="263"/>
      <c r="AB895" s="265" t="str">
        <f t="shared" si="131"/>
        <v/>
      </c>
    </row>
    <row r="896" spans="1:28" s="264" customFormat="1" ht="20.399999999999999">
      <c r="A896" s="207"/>
      <c r="B896" s="208"/>
      <c r="C896" s="212"/>
      <c r="D896" s="270"/>
      <c r="E896" s="208"/>
      <c r="F896" s="208"/>
      <c r="G896" s="208"/>
      <c r="H896" s="209"/>
      <c r="I896" s="210"/>
      <c r="J896" s="210"/>
      <c r="K896" s="260"/>
      <c r="L896" s="260"/>
      <c r="M896" s="260"/>
      <c r="N896" s="260"/>
      <c r="O896" s="260"/>
      <c r="P896" s="211"/>
      <c r="Q896" s="261"/>
      <c r="R896" s="208" t="str">
        <f ca="1">IF(ISERROR($V896),"",OFFSET('Smelter Look-up'!$C$4,$V896-4,0)&amp;"")</f>
        <v/>
      </c>
      <c r="S896" s="215" t="str">
        <f t="shared" ca="1" si="129"/>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si="130"/>
        <v>0</v>
      </c>
      <c r="Y896" s="263"/>
      <c r="Z896" s="263"/>
      <c r="AB896" s="265" t="str">
        <f t="shared" si="131"/>
        <v/>
      </c>
    </row>
    <row r="897" spans="1:28" s="264" customFormat="1" ht="20.399999999999999">
      <c r="A897" s="207"/>
      <c r="B897" s="208"/>
      <c r="C897" s="212"/>
      <c r="D897" s="270"/>
      <c r="E897" s="208"/>
      <c r="F897" s="208"/>
      <c r="G897" s="208"/>
      <c r="H897" s="209"/>
      <c r="I897" s="210"/>
      <c r="J897" s="210"/>
      <c r="K897" s="260"/>
      <c r="L897" s="260"/>
      <c r="M897" s="260"/>
      <c r="N897" s="260"/>
      <c r="O897" s="260"/>
      <c r="P897" s="211"/>
      <c r="Q897" s="261"/>
      <c r="R897" s="208" t="str">
        <f ca="1">IF(ISERROR($V897),"",OFFSET('Smelter Look-up'!$C$4,$V897-4,0)&amp;"")</f>
        <v/>
      </c>
      <c r="S897" s="215" t="str">
        <f t="shared" ca="1" si="129"/>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si="130"/>
        <v>0</v>
      </c>
      <c r="Y897" s="263"/>
      <c r="Z897" s="263"/>
      <c r="AB897" s="265" t="str">
        <f t="shared" si="131"/>
        <v/>
      </c>
    </row>
    <row r="898" spans="1:28" s="264" customFormat="1" ht="20.399999999999999">
      <c r="A898" s="207"/>
      <c r="B898" s="208"/>
      <c r="C898" s="212"/>
      <c r="D898" s="270"/>
      <c r="E898" s="208"/>
      <c r="F898" s="208"/>
      <c r="G898" s="208"/>
      <c r="H898" s="209"/>
      <c r="I898" s="210"/>
      <c r="J898" s="210"/>
      <c r="K898" s="260"/>
      <c r="L898" s="260"/>
      <c r="M898" s="260"/>
      <c r="N898" s="260"/>
      <c r="O898" s="260"/>
      <c r="P898" s="211"/>
      <c r="Q898" s="261"/>
      <c r="R898" s="208" t="str">
        <f ca="1">IF(ISERROR($V898),"",OFFSET('Smelter Look-up'!$C$4,$V898-4,0)&amp;"")</f>
        <v/>
      </c>
      <c r="S898" s="215" t="str">
        <f t="shared" ca="1" si="129"/>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si="130"/>
        <v>0</v>
      </c>
      <c r="Y898" s="263"/>
      <c r="Z898" s="263"/>
      <c r="AB898" s="265" t="str">
        <f t="shared" si="131"/>
        <v/>
      </c>
    </row>
    <row r="899" spans="1:28" s="264" customFormat="1" ht="20.399999999999999">
      <c r="A899" s="207"/>
      <c r="B899" s="208"/>
      <c r="C899" s="212"/>
      <c r="D899" s="270"/>
      <c r="E899" s="208"/>
      <c r="F899" s="208"/>
      <c r="G899" s="208"/>
      <c r="H899" s="209"/>
      <c r="I899" s="210"/>
      <c r="J899" s="210"/>
      <c r="K899" s="260"/>
      <c r="L899" s="260"/>
      <c r="M899" s="260"/>
      <c r="N899" s="260"/>
      <c r="O899" s="260"/>
      <c r="P899" s="211"/>
      <c r="Q899" s="261"/>
      <c r="R899" s="208" t="str">
        <f ca="1">IF(ISERROR($V899),"",OFFSET('Smelter Look-up'!$C$4,$V899-4,0)&amp;"")</f>
        <v/>
      </c>
      <c r="S899" s="215" t="str">
        <f t="shared" ca="1" si="129"/>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si="130"/>
        <v>0</v>
      </c>
      <c r="Y899" s="263"/>
      <c r="Z899" s="263"/>
      <c r="AB899" s="265" t="str">
        <f t="shared" si="131"/>
        <v/>
      </c>
    </row>
    <row r="900" spans="1:28" s="264" customFormat="1" ht="20.399999999999999">
      <c r="A900" s="207"/>
      <c r="B900" s="208"/>
      <c r="C900" s="212"/>
      <c r="D900" s="270"/>
      <c r="E900" s="208"/>
      <c r="F900" s="208"/>
      <c r="G900" s="208"/>
      <c r="H900" s="209"/>
      <c r="I900" s="210"/>
      <c r="J900" s="210"/>
      <c r="K900" s="260"/>
      <c r="L900" s="260"/>
      <c r="M900" s="260"/>
      <c r="N900" s="260"/>
      <c r="O900" s="260"/>
      <c r="P900" s="211"/>
      <c r="Q900" s="261"/>
      <c r="R900" s="208" t="str">
        <f ca="1">IF(ISERROR($V900),"",OFFSET('Smelter Look-up'!$C$4,$V900-4,0)&amp;"")</f>
        <v/>
      </c>
      <c r="S900" s="215" t="str">
        <f t="shared" ca="1" si="129"/>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si="130"/>
        <v>0</v>
      </c>
      <c r="Y900" s="263"/>
      <c r="Z900" s="263"/>
      <c r="AB900" s="265" t="str">
        <f t="shared" si="131"/>
        <v/>
      </c>
    </row>
    <row r="901" spans="1:28" s="264" customFormat="1" ht="20.399999999999999">
      <c r="A901" s="207"/>
      <c r="B901" s="208"/>
      <c r="C901" s="212"/>
      <c r="D901" s="270"/>
      <c r="E901" s="208"/>
      <c r="F901" s="208"/>
      <c r="G901" s="208"/>
      <c r="H901" s="209"/>
      <c r="I901" s="210"/>
      <c r="J901" s="210"/>
      <c r="K901" s="260"/>
      <c r="L901" s="260"/>
      <c r="M901" s="260"/>
      <c r="N901" s="260"/>
      <c r="O901" s="260"/>
      <c r="P901" s="211"/>
      <c r="Q901" s="261"/>
      <c r="R901" s="208" t="str">
        <f ca="1">IF(ISERROR($V901),"",OFFSET('Smelter Look-up'!$C$4,$V901-4,0)&amp;"")</f>
        <v/>
      </c>
      <c r="S901" s="215" t="str">
        <f t="shared" ca="1" si="129"/>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si="130"/>
        <v>0</v>
      </c>
      <c r="Y901" s="263"/>
      <c r="Z901" s="263"/>
      <c r="AB901" s="265" t="str">
        <f t="shared" si="131"/>
        <v/>
      </c>
    </row>
    <row r="902" spans="1:28" s="264" customFormat="1" ht="20.399999999999999">
      <c r="A902" s="207"/>
      <c r="B902" s="208"/>
      <c r="C902" s="212"/>
      <c r="D902" s="270"/>
      <c r="E902" s="208"/>
      <c r="F902" s="208"/>
      <c r="G902" s="208"/>
      <c r="H902" s="209"/>
      <c r="I902" s="210"/>
      <c r="J902" s="210"/>
      <c r="K902" s="260"/>
      <c r="L902" s="260"/>
      <c r="M902" s="260"/>
      <c r="N902" s="260"/>
      <c r="O902" s="260"/>
      <c r="P902" s="211"/>
      <c r="Q902" s="261"/>
      <c r="R902" s="208" t="str">
        <f ca="1">IF(ISERROR($V902),"",OFFSET('Smelter Look-up'!$C$4,$V902-4,0)&amp;"")</f>
        <v/>
      </c>
      <c r="S902" s="215" t="str">
        <f t="shared" ca="1" si="129"/>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si="130"/>
        <v>0</v>
      </c>
      <c r="Y902" s="263"/>
      <c r="Z902" s="263"/>
      <c r="AB902" s="265" t="str">
        <f t="shared" si="131"/>
        <v/>
      </c>
    </row>
    <row r="903" spans="1:28" s="264" customFormat="1" ht="20.399999999999999">
      <c r="A903" s="207"/>
      <c r="B903" s="208"/>
      <c r="C903" s="212"/>
      <c r="D903" s="270"/>
      <c r="E903" s="208"/>
      <c r="F903" s="208"/>
      <c r="G903" s="208"/>
      <c r="H903" s="209"/>
      <c r="I903" s="210"/>
      <c r="J903" s="210"/>
      <c r="K903" s="260"/>
      <c r="L903" s="260"/>
      <c r="M903" s="260"/>
      <c r="N903" s="260"/>
      <c r="O903" s="260"/>
      <c r="P903" s="211"/>
      <c r="Q903" s="261"/>
      <c r="R903" s="208" t="str">
        <f ca="1">IF(ISERROR($V903),"",OFFSET('Smelter Look-up'!$C$4,$V903-4,0)&amp;"")</f>
        <v/>
      </c>
      <c r="S903" s="215" t="str">
        <f t="shared" ca="1" si="129"/>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si="130"/>
        <v>0</v>
      </c>
      <c r="Y903" s="263"/>
      <c r="Z903" s="263"/>
      <c r="AB903" s="265" t="str">
        <f t="shared" si="131"/>
        <v/>
      </c>
    </row>
    <row r="904" spans="1:28" s="264" customFormat="1" ht="20.399999999999999">
      <c r="A904" s="207"/>
      <c r="B904" s="208"/>
      <c r="C904" s="212"/>
      <c r="D904" s="270"/>
      <c r="E904" s="208"/>
      <c r="F904" s="208"/>
      <c r="G904" s="208"/>
      <c r="H904" s="209"/>
      <c r="I904" s="210"/>
      <c r="J904" s="210"/>
      <c r="K904" s="260"/>
      <c r="L904" s="260"/>
      <c r="M904" s="260"/>
      <c r="N904" s="260"/>
      <c r="O904" s="260"/>
      <c r="P904" s="211"/>
      <c r="Q904" s="261"/>
      <c r="R904" s="208" t="str">
        <f ca="1">IF(ISERROR($V904),"",OFFSET('Smelter Look-up'!$C$4,$V904-4,0)&amp;"")</f>
        <v/>
      </c>
      <c r="S904" s="215" t="str">
        <f t="shared" ca="1" si="129"/>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si="130"/>
        <v>0</v>
      </c>
      <c r="Y904" s="263"/>
      <c r="Z904" s="263"/>
      <c r="AB904" s="265" t="str">
        <f t="shared" si="131"/>
        <v/>
      </c>
    </row>
    <row r="905" spans="1:28" s="264" customFormat="1" ht="20.399999999999999">
      <c r="A905" s="207"/>
      <c r="B905" s="208"/>
      <c r="C905" s="212"/>
      <c r="D905" s="270"/>
      <c r="E905" s="208"/>
      <c r="F905" s="208"/>
      <c r="G905" s="208"/>
      <c r="H905" s="209"/>
      <c r="I905" s="210"/>
      <c r="J905" s="210"/>
      <c r="K905" s="260"/>
      <c r="L905" s="260"/>
      <c r="M905" s="260"/>
      <c r="N905" s="260"/>
      <c r="O905" s="260"/>
      <c r="P905" s="211"/>
      <c r="Q905" s="261"/>
      <c r="R905" s="208" t="str">
        <f ca="1">IF(ISERROR($V905),"",OFFSET('Smelter Look-up'!$C$4,$V905-4,0)&amp;"")</f>
        <v/>
      </c>
      <c r="S905" s="215" t="str">
        <f t="shared" ca="1" si="129"/>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si="130"/>
        <v>0</v>
      </c>
      <c r="Y905" s="263"/>
      <c r="Z905" s="263"/>
      <c r="AB905" s="265" t="str">
        <f t="shared" si="131"/>
        <v/>
      </c>
    </row>
    <row r="906" spans="1:28" s="264" customFormat="1" ht="20.399999999999999">
      <c r="A906" s="207"/>
      <c r="B906" s="208"/>
      <c r="C906" s="212"/>
      <c r="D906" s="270"/>
      <c r="E906" s="208"/>
      <c r="F906" s="208"/>
      <c r="G906" s="208"/>
      <c r="H906" s="209"/>
      <c r="I906" s="210"/>
      <c r="J906" s="210"/>
      <c r="K906" s="260"/>
      <c r="L906" s="260"/>
      <c r="M906" s="260"/>
      <c r="N906" s="260"/>
      <c r="O906" s="260"/>
      <c r="P906" s="211"/>
      <c r="Q906" s="261"/>
      <c r="R906" s="208" t="str">
        <f ca="1">IF(ISERROR($V906),"",OFFSET('Smelter Look-up'!$C$4,$V906-4,0)&amp;"")</f>
        <v/>
      </c>
      <c r="S906" s="215" t="str">
        <f t="shared" ca="1" si="129"/>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si="130"/>
        <v>0</v>
      </c>
      <c r="Y906" s="263"/>
      <c r="Z906" s="263"/>
      <c r="AB906" s="265" t="str">
        <f t="shared" si="131"/>
        <v/>
      </c>
    </row>
    <row r="907" spans="1:28" s="264" customFormat="1" ht="20.399999999999999">
      <c r="A907" s="207"/>
      <c r="B907" s="208"/>
      <c r="C907" s="212"/>
      <c r="D907" s="270"/>
      <c r="E907" s="208"/>
      <c r="F907" s="208"/>
      <c r="G907" s="208"/>
      <c r="H907" s="209"/>
      <c r="I907" s="210"/>
      <c r="J907" s="210"/>
      <c r="K907" s="260"/>
      <c r="L907" s="260"/>
      <c r="M907" s="260"/>
      <c r="N907" s="260"/>
      <c r="O907" s="260"/>
      <c r="P907" s="211"/>
      <c r="Q907" s="261"/>
      <c r="R907" s="208" t="str">
        <f ca="1">IF(ISERROR($V907),"",OFFSET('Smelter Look-up'!$C$4,$V907-4,0)&amp;"")</f>
        <v/>
      </c>
      <c r="S907" s="215" t="str">
        <f t="shared" ca="1" si="129"/>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si="130"/>
        <v>0</v>
      </c>
      <c r="Y907" s="263"/>
      <c r="Z907" s="263"/>
      <c r="AB907" s="265" t="str">
        <f t="shared" si="131"/>
        <v/>
      </c>
    </row>
    <row r="908" spans="1:28" s="264" customFormat="1" ht="20.399999999999999">
      <c r="A908" s="207"/>
      <c r="B908" s="208"/>
      <c r="C908" s="212"/>
      <c r="D908" s="270"/>
      <c r="E908" s="208"/>
      <c r="F908" s="208"/>
      <c r="G908" s="208"/>
      <c r="H908" s="209"/>
      <c r="I908" s="210"/>
      <c r="J908" s="210"/>
      <c r="K908" s="260"/>
      <c r="L908" s="260"/>
      <c r="M908" s="260"/>
      <c r="N908" s="260"/>
      <c r="O908" s="260"/>
      <c r="P908" s="211"/>
      <c r="Q908" s="261"/>
      <c r="R908" s="208" t="str">
        <f ca="1">IF(ISERROR($V908),"",OFFSET('Smelter Look-up'!$C$4,$V908-4,0)&amp;"")</f>
        <v/>
      </c>
      <c r="S908" s="215" t="str">
        <f t="shared" ca="1" si="129"/>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si="130"/>
        <v>0</v>
      </c>
      <c r="Y908" s="263"/>
      <c r="Z908" s="263"/>
      <c r="AB908" s="265" t="str">
        <f t="shared" si="131"/>
        <v/>
      </c>
    </row>
    <row r="909" spans="1:28" s="264" customFormat="1" ht="20.399999999999999">
      <c r="A909" s="207"/>
      <c r="B909" s="208"/>
      <c r="C909" s="212"/>
      <c r="D909" s="270"/>
      <c r="E909" s="208"/>
      <c r="F909" s="208"/>
      <c r="G909" s="208"/>
      <c r="H909" s="209"/>
      <c r="I909" s="210"/>
      <c r="J909" s="210"/>
      <c r="K909" s="260"/>
      <c r="L909" s="260"/>
      <c r="M909" s="260"/>
      <c r="N909" s="260"/>
      <c r="O909" s="260"/>
      <c r="P909" s="211"/>
      <c r="Q909" s="261"/>
      <c r="R909" s="208" t="str">
        <f ca="1">IF(ISERROR($V909),"",OFFSET('Smelter Look-up'!$C$4,$V909-4,0)&amp;"")</f>
        <v/>
      </c>
      <c r="S909" s="215" t="str">
        <f t="shared" ca="1" si="129"/>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si="130"/>
        <v>0</v>
      </c>
      <c r="Y909" s="263"/>
      <c r="Z909" s="263"/>
      <c r="AB909" s="265" t="str">
        <f t="shared" si="131"/>
        <v/>
      </c>
    </row>
    <row r="910" spans="1:28" s="264" customFormat="1" ht="20.399999999999999">
      <c r="A910" s="207"/>
      <c r="B910" s="208"/>
      <c r="C910" s="212"/>
      <c r="D910" s="270"/>
      <c r="E910" s="208"/>
      <c r="F910" s="208"/>
      <c r="G910" s="208"/>
      <c r="H910" s="209"/>
      <c r="I910" s="210"/>
      <c r="J910" s="210"/>
      <c r="K910" s="260"/>
      <c r="L910" s="260"/>
      <c r="M910" s="260"/>
      <c r="N910" s="260"/>
      <c r="O910" s="260"/>
      <c r="P910" s="211"/>
      <c r="Q910" s="261"/>
      <c r="R910" s="208" t="str">
        <f ca="1">IF(ISERROR($V910),"",OFFSET('Smelter Look-up'!$C$4,$V910-4,0)&amp;"")</f>
        <v/>
      </c>
      <c r="S910" s="215" t="str">
        <f t="shared" ca="1" si="129"/>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si="130"/>
        <v>0</v>
      </c>
      <c r="Y910" s="263"/>
      <c r="Z910" s="263"/>
      <c r="AB910" s="265" t="str">
        <f t="shared" si="131"/>
        <v/>
      </c>
    </row>
    <row r="911" spans="1:28" s="264" customFormat="1" ht="20.399999999999999">
      <c r="A911" s="207"/>
      <c r="B911" s="208"/>
      <c r="C911" s="212"/>
      <c r="D911" s="270"/>
      <c r="E911" s="208"/>
      <c r="F911" s="208"/>
      <c r="G911" s="208"/>
      <c r="H911" s="209"/>
      <c r="I911" s="210"/>
      <c r="J911" s="210"/>
      <c r="K911" s="260"/>
      <c r="L911" s="260"/>
      <c r="M911" s="260"/>
      <c r="N911" s="260"/>
      <c r="O911" s="260"/>
      <c r="P911" s="211"/>
      <c r="Q911" s="261"/>
      <c r="R911" s="208" t="str">
        <f ca="1">IF(ISERROR($V911),"",OFFSET('Smelter Look-up'!$C$4,$V911-4,0)&amp;"")</f>
        <v/>
      </c>
      <c r="S911" s="215" t="str">
        <f t="shared" ca="1" si="129"/>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si="130"/>
        <v>0</v>
      </c>
      <c r="Y911" s="263"/>
      <c r="Z911" s="263"/>
      <c r="AB911" s="265" t="str">
        <f t="shared" si="131"/>
        <v/>
      </c>
    </row>
    <row r="912" spans="1:28" s="264" customFormat="1" ht="20.399999999999999">
      <c r="A912" s="207"/>
      <c r="B912" s="208"/>
      <c r="C912" s="212"/>
      <c r="D912" s="270"/>
      <c r="E912" s="208"/>
      <c r="F912" s="208"/>
      <c r="G912" s="208"/>
      <c r="H912" s="209"/>
      <c r="I912" s="210"/>
      <c r="J912" s="210"/>
      <c r="K912" s="260"/>
      <c r="L912" s="260"/>
      <c r="M912" s="260"/>
      <c r="N912" s="260"/>
      <c r="O912" s="260"/>
      <c r="P912" s="211"/>
      <c r="Q912" s="261"/>
      <c r="R912" s="208" t="str">
        <f ca="1">IF(ISERROR($V912),"",OFFSET('Smelter Look-up'!$C$4,$V912-4,0)&amp;"")</f>
        <v/>
      </c>
      <c r="S912" s="215" t="str">
        <f t="shared" ca="1" si="129"/>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si="130"/>
        <v>0</v>
      </c>
      <c r="Y912" s="263"/>
      <c r="Z912" s="263"/>
      <c r="AB912" s="265" t="str">
        <f t="shared" si="131"/>
        <v/>
      </c>
    </row>
    <row r="913" spans="1:28" s="264" customFormat="1" ht="20.399999999999999">
      <c r="A913" s="207"/>
      <c r="B913" s="208"/>
      <c r="C913" s="212"/>
      <c r="D913" s="270"/>
      <c r="E913" s="208"/>
      <c r="F913" s="208"/>
      <c r="G913" s="208"/>
      <c r="H913" s="209"/>
      <c r="I913" s="210"/>
      <c r="J913" s="210"/>
      <c r="K913" s="260"/>
      <c r="L913" s="260"/>
      <c r="M913" s="260"/>
      <c r="N913" s="260"/>
      <c r="O913" s="260"/>
      <c r="P913" s="211"/>
      <c r="Q913" s="261"/>
      <c r="R913" s="208" t="str">
        <f ca="1">IF(ISERROR($V913),"",OFFSET('Smelter Look-up'!$C$4,$V913-4,0)&amp;"")</f>
        <v/>
      </c>
      <c r="S913" s="215" t="str">
        <f t="shared" ca="1" si="129"/>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si="130"/>
        <v>0</v>
      </c>
      <c r="Y913" s="263"/>
      <c r="Z913" s="263"/>
      <c r="AB913" s="265" t="str">
        <f t="shared" si="131"/>
        <v/>
      </c>
    </row>
    <row r="914" spans="1:28" s="264" customFormat="1" ht="20.399999999999999">
      <c r="A914" s="207"/>
      <c r="B914" s="208"/>
      <c r="C914" s="212"/>
      <c r="D914" s="270"/>
      <c r="E914" s="208"/>
      <c r="F914" s="208"/>
      <c r="G914" s="208"/>
      <c r="H914" s="209"/>
      <c r="I914" s="210"/>
      <c r="J914" s="210"/>
      <c r="K914" s="260"/>
      <c r="L914" s="260"/>
      <c r="M914" s="260"/>
      <c r="N914" s="260"/>
      <c r="O914" s="260"/>
      <c r="P914" s="211"/>
      <c r="Q914" s="261"/>
      <c r="R914" s="208" t="str">
        <f ca="1">IF(ISERROR($V914),"",OFFSET('Smelter Look-up'!$C$4,$V914-4,0)&amp;"")</f>
        <v/>
      </c>
      <c r="S914" s="215" t="str">
        <f t="shared" ca="1" si="129"/>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si="130"/>
        <v>0</v>
      </c>
      <c r="Y914" s="263"/>
      <c r="Z914" s="263"/>
      <c r="AB914" s="265" t="str">
        <f t="shared" si="131"/>
        <v/>
      </c>
    </row>
    <row r="915" spans="1:28" s="264" customFormat="1" ht="20.399999999999999">
      <c r="A915" s="207"/>
      <c r="B915" s="208"/>
      <c r="C915" s="212"/>
      <c r="D915" s="270"/>
      <c r="E915" s="208"/>
      <c r="F915" s="208"/>
      <c r="G915" s="208"/>
      <c r="H915" s="209"/>
      <c r="I915" s="210"/>
      <c r="J915" s="210"/>
      <c r="K915" s="260"/>
      <c r="L915" s="260"/>
      <c r="M915" s="260"/>
      <c r="N915" s="260"/>
      <c r="O915" s="260"/>
      <c r="P915" s="211"/>
      <c r="Q915" s="261"/>
      <c r="R915" s="208" t="str">
        <f ca="1">IF(ISERROR($V915),"",OFFSET('Smelter Look-up'!$C$4,$V915-4,0)&amp;"")</f>
        <v/>
      </c>
      <c r="S915" s="215" t="str">
        <f t="shared" ca="1" si="129"/>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si="130"/>
        <v>0</v>
      </c>
      <c r="Y915" s="263"/>
      <c r="Z915" s="263"/>
      <c r="AB915" s="265" t="str">
        <f t="shared" si="131"/>
        <v/>
      </c>
    </row>
    <row r="916" spans="1:28" s="264" customFormat="1" ht="20.399999999999999">
      <c r="A916" s="207"/>
      <c r="B916" s="208"/>
      <c r="C916" s="212"/>
      <c r="D916" s="270"/>
      <c r="E916" s="208"/>
      <c r="F916" s="208"/>
      <c r="G916" s="208"/>
      <c r="H916" s="209"/>
      <c r="I916" s="210"/>
      <c r="J916" s="210"/>
      <c r="K916" s="260"/>
      <c r="L916" s="260"/>
      <c r="M916" s="260"/>
      <c r="N916" s="260"/>
      <c r="O916" s="260"/>
      <c r="P916" s="211"/>
      <c r="Q916" s="261"/>
      <c r="R916" s="208" t="str">
        <f ca="1">IF(ISERROR($V916),"",OFFSET('Smelter Look-up'!$C$4,$V916-4,0)&amp;"")</f>
        <v/>
      </c>
      <c r="S916" s="215" t="str">
        <f t="shared" ca="1" si="129"/>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si="130"/>
        <v>0</v>
      </c>
      <c r="Y916" s="263"/>
      <c r="Z916" s="263"/>
      <c r="AB916" s="265" t="str">
        <f t="shared" si="131"/>
        <v/>
      </c>
    </row>
    <row r="917" spans="1:28" s="264" customFormat="1" ht="20.399999999999999">
      <c r="A917" s="207"/>
      <c r="B917" s="208"/>
      <c r="C917" s="212"/>
      <c r="D917" s="270"/>
      <c r="E917" s="208"/>
      <c r="F917" s="208"/>
      <c r="G917" s="208"/>
      <c r="H917" s="209"/>
      <c r="I917" s="210"/>
      <c r="J917" s="210"/>
      <c r="K917" s="260"/>
      <c r="L917" s="260"/>
      <c r="M917" s="260"/>
      <c r="N917" s="260"/>
      <c r="O917" s="260"/>
      <c r="P917" s="211"/>
      <c r="Q917" s="261"/>
      <c r="R917" s="208" t="str">
        <f ca="1">IF(ISERROR($V917),"",OFFSET('Smelter Look-up'!$C$4,$V917-4,0)&amp;"")</f>
        <v/>
      </c>
      <c r="S917" s="215" t="str">
        <f t="shared" ca="1" si="129"/>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si="130"/>
        <v>0</v>
      </c>
      <c r="Y917" s="263"/>
      <c r="Z917" s="263"/>
      <c r="AB917" s="265" t="str">
        <f t="shared" si="131"/>
        <v/>
      </c>
    </row>
    <row r="918" spans="1:28" s="264" customFormat="1" ht="20.399999999999999">
      <c r="A918" s="207"/>
      <c r="B918" s="208"/>
      <c r="C918" s="212"/>
      <c r="D918" s="270"/>
      <c r="E918" s="208"/>
      <c r="F918" s="208"/>
      <c r="G918" s="208"/>
      <c r="H918" s="209"/>
      <c r="I918" s="210"/>
      <c r="J918" s="210"/>
      <c r="K918" s="260"/>
      <c r="L918" s="260"/>
      <c r="M918" s="260"/>
      <c r="N918" s="260"/>
      <c r="O918" s="260"/>
      <c r="P918" s="211"/>
      <c r="Q918" s="261"/>
      <c r="R918" s="208" t="str">
        <f ca="1">IF(ISERROR($V918),"",OFFSET('Smelter Look-up'!$C$4,$V918-4,0)&amp;"")</f>
        <v/>
      </c>
      <c r="S918" s="215" t="str">
        <f t="shared" ca="1" si="129"/>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si="130"/>
        <v>0</v>
      </c>
      <c r="Y918" s="263"/>
      <c r="Z918" s="263"/>
      <c r="AB918" s="265" t="str">
        <f t="shared" si="131"/>
        <v/>
      </c>
    </row>
    <row r="919" spans="1:28" s="264" customFormat="1" ht="20.399999999999999">
      <c r="A919" s="207"/>
      <c r="B919" s="208"/>
      <c r="C919" s="212"/>
      <c r="D919" s="270"/>
      <c r="E919" s="208"/>
      <c r="F919" s="208"/>
      <c r="G919" s="208"/>
      <c r="H919" s="209"/>
      <c r="I919" s="210"/>
      <c r="J919" s="210"/>
      <c r="K919" s="260"/>
      <c r="L919" s="260"/>
      <c r="M919" s="260"/>
      <c r="N919" s="260"/>
      <c r="O919" s="260"/>
      <c r="P919" s="211"/>
      <c r="Q919" s="261"/>
      <c r="R919" s="208" t="str">
        <f ca="1">IF(ISERROR($V919),"",OFFSET('Smelter Look-up'!$C$4,$V919-4,0)&amp;"")</f>
        <v/>
      </c>
      <c r="S919" s="215" t="str">
        <f t="shared" ca="1" si="129"/>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si="130"/>
        <v>0</v>
      </c>
      <c r="Y919" s="263"/>
      <c r="Z919" s="263"/>
      <c r="AB919" s="265" t="str">
        <f t="shared" si="131"/>
        <v/>
      </c>
    </row>
    <row r="920" spans="1:28" s="264" customFormat="1" ht="20.399999999999999">
      <c r="A920" s="207"/>
      <c r="B920" s="208"/>
      <c r="C920" s="212"/>
      <c r="D920" s="270"/>
      <c r="E920" s="208"/>
      <c r="F920" s="208"/>
      <c r="G920" s="208"/>
      <c r="H920" s="209"/>
      <c r="I920" s="210"/>
      <c r="J920" s="210"/>
      <c r="K920" s="260"/>
      <c r="L920" s="260"/>
      <c r="M920" s="260"/>
      <c r="N920" s="260"/>
      <c r="O920" s="260"/>
      <c r="P920" s="211"/>
      <c r="Q920" s="261"/>
      <c r="R920" s="208" t="str">
        <f ca="1">IF(ISERROR($V920),"",OFFSET('Smelter Look-up'!$C$4,$V920-4,0)&amp;"")</f>
        <v/>
      </c>
      <c r="S920" s="215" t="str">
        <f t="shared" ca="1" si="129"/>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si="130"/>
        <v>0</v>
      </c>
      <c r="Y920" s="263"/>
      <c r="Z920" s="263"/>
      <c r="AB920" s="265" t="str">
        <f t="shared" si="131"/>
        <v/>
      </c>
    </row>
    <row r="921" spans="1:28" s="264" customFormat="1" ht="20.399999999999999">
      <c r="A921" s="207"/>
      <c r="B921" s="208"/>
      <c r="C921" s="212"/>
      <c r="D921" s="270"/>
      <c r="E921" s="208"/>
      <c r="F921" s="208"/>
      <c r="G921" s="208"/>
      <c r="H921" s="209"/>
      <c r="I921" s="210"/>
      <c r="J921" s="210"/>
      <c r="K921" s="260"/>
      <c r="L921" s="260"/>
      <c r="M921" s="260"/>
      <c r="N921" s="260"/>
      <c r="O921" s="260"/>
      <c r="P921" s="211"/>
      <c r="Q921" s="261"/>
      <c r="R921" s="208" t="str">
        <f ca="1">IF(ISERROR($V921),"",OFFSET('Smelter Look-up'!$C$4,$V921-4,0)&amp;"")</f>
        <v/>
      </c>
      <c r="S921" s="215" t="str">
        <f t="shared" ca="1" si="129"/>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si="130"/>
        <v>0</v>
      </c>
      <c r="Y921" s="263"/>
      <c r="Z921" s="263"/>
      <c r="AB921" s="265" t="str">
        <f t="shared" si="131"/>
        <v/>
      </c>
    </row>
    <row r="922" spans="1:28" s="264" customFormat="1" ht="20.399999999999999">
      <c r="A922" s="207"/>
      <c r="B922" s="208"/>
      <c r="C922" s="212"/>
      <c r="D922" s="270"/>
      <c r="E922" s="208"/>
      <c r="F922" s="208"/>
      <c r="G922" s="208"/>
      <c r="H922" s="209"/>
      <c r="I922" s="210"/>
      <c r="J922" s="210"/>
      <c r="K922" s="260"/>
      <c r="L922" s="260"/>
      <c r="M922" s="260"/>
      <c r="N922" s="260"/>
      <c r="O922" s="260"/>
      <c r="P922" s="211"/>
      <c r="Q922" s="261"/>
      <c r="R922" s="208" t="str">
        <f ca="1">IF(ISERROR($V922),"",OFFSET('Smelter Look-up'!$C$4,$V922-4,0)&amp;"")</f>
        <v/>
      </c>
      <c r="S922" s="215" t="str">
        <f t="shared" ca="1" si="129"/>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si="130"/>
        <v>0</v>
      </c>
      <c r="Y922" s="263"/>
      <c r="Z922" s="263"/>
      <c r="AB922" s="265" t="str">
        <f t="shared" si="131"/>
        <v/>
      </c>
    </row>
    <row r="923" spans="1:28" s="264" customFormat="1" ht="20.399999999999999">
      <c r="A923" s="207"/>
      <c r="B923" s="208"/>
      <c r="C923" s="212"/>
      <c r="D923" s="270"/>
      <c r="E923" s="208"/>
      <c r="F923" s="208"/>
      <c r="G923" s="208"/>
      <c r="H923" s="209"/>
      <c r="I923" s="210"/>
      <c r="J923" s="210"/>
      <c r="K923" s="260"/>
      <c r="L923" s="260"/>
      <c r="M923" s="260"/>
      <c r="N923" s="260"/>
      <c r="O923" s="260"/>
      <c r="P923" s="211"/>
      <c r="Q923" s="261"/>
      <c r="R923" s="208" t="str">
        <f ca="1">IF(ISERROR($V923),"",OFFSET('Smelter Look-up'!$C$4,$V923-4,0)&amp;"")</f>
        <v/>
      </c>
      <c r="S923" s="215" t="str">
        <f t="shared" ca="1" si="129"/>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si="130"/>
        <v>0</v>
      </c>
      <c r="Y923" s="263"/>
      <c r="Z923" s="263"/>
      <c r="AB923" s="265" t="str">
        <f t="shared" si="131"/>
        <v/>
      </c>
    </row>
    <row r="924" spans="1:28" s="264" customFormat="1" ht="20.399999999999999">
      <c r="A924" s="207"/>
      <c r="B924" s="208"/>
      <c r="C924" s="212"/>
      <c r="D924" s="270"/>
      <c r="E924" s="208"/>
      <c r="F924" s="208"/>
      <c r="G924" s="208"/>
      <c r="H924" s="209"/>
      <c r="I924" s="210"/>
      <c r="J924" s="210"/>
      <c r="K924" s="260"/>
      <c r="L924" s="260"/>
      <c r="M924" s="260"/>
      <c r="N924" s="260"/>
      <c r="O924" s="260"/>
      <c r="P924" s="211"/>
      <c r="Q924" s="261"/>
      <c r="R924" s="208" t="str">
        <f ca="1">IF(ISERROR($V924),"",OFFSET('Smelter Look-up'!$C$4,$V924-4,0)&amp;"")</f>
        <v/>
      </c>
      <c r="S924" s="215" t="str">
        <f t="shared" ref="S924:S954" ca="1" si="132">IF(B924="","",IF(ISERROR(MATCH($E924,CL,0)),"Unknown",INDIRECT("'C'!$A$"&amp;MATCH($E924,CL,0)+1)))</f>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ref="X924:X954" si="133">IF(AND(C924="Smelter not listed",OR(LEN(D924)=0,LEN(E924)=0)),1,0)</f>
        <v>0</v>
      </c>
      <c r="Y924" s="263"/>
      <c r="Z924" s="263"/>
      <c r="AB924" s="265" t="str">
        <f t="shared" ref="AB924:AB954" si="134">B924&amp;C924</f>
        <v/>
      </c>
    </row>
    <row r="925" spans="1:28" s="264" customFormat="1" ht="20.399999999999999">
      <c r="A925" s="207"/>
      <c r="B925" s="208"/>
      <c r="C925" s="212"/>
      <c r="D925" s="270"/>
      <c r="E925" s="208"/>
      <c r="F925" s="208"/>
      <c r="G925" s="208"/>
      <c r="H925" s="209"/>
      <c r="I925" s="210"/>
      <c r="J925" s="210"/>
      <c r="K925" s="260"/>
      <c r="L925" s="260"/>
      <c r="M925" s="260"/>
      <c r="N925" s="260"/>
      <c r="O925" s="260"/>
      <c r="P925" s="211"/>
      <c r="Q925" s="261"/>
      <c r="R925" s="208" t="str">
        <f ca="1">IF(ISERROR($V925),"",OFFSET('Smelter Look-up'!$C$4,$V925-4,0)&amp;"")</f>
        <v/>
      </c>
      <c r="S925" s="215" t="str">
        <f t="shared" ca="1" si="132"/>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si="133"/>
        <v>0</v>
      </c>
      <c r="Y925" s="263"/>
      <c r="Z925" s="263"/>
      <c r="AB925" s="265" t="str">
        <f t="shared" si="134"/>
        <v/>
      </c>
    </row>
    <row r="926" spans="1:28" s="264" customFormat="1" ht="20.399999999999999">
      <c r="A926" s="207"/>
      <c r="B926" s="208"/>
      <c r="C926" s="212"/>
      <c r="D926" s="270"/>
      <c r="E926" s="208"/>
      <c r="F926" s="208"/>
      <c r="G926" s="208"/>
      <c r="H926" s="209"/>
      <c r="I926" s="210"/>
      <c r="J926" s="210"/>
      <c r="K926" s="260"/>
      <c r="L926" s="260"/>
      <c r="M926" s="260"/>
      <c r="N926" s="260"/>
      <c r="O926" s="260"/>
      <c r="P926" s="211"/>
      <c r="Q926" s="261"/>
      <c r="R926" s="208" t="str">
        <f ca="1">IF(ISERROR($V926),"",OFFSET('Smelter Look-up'!$C$4,$V926-4,0)&amp;"")</f>
        <v/>
      </c>
      <c r="S926" s="215" t="str">
        <f t="shared" ca="1" si="132"/>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si="133"/>
        <v>0</v>
      </c>
      <c r="Y926" s="263"/>
      <c r="Z926" s="263"/>
      <c r="AB926" s="265" t="str">
        <f t="shared" si="134"/>
        <v/>
      </c>
    </row>
    <row r="927" spans="1:28" s="264" customFormat="1" ht="20.399999999999999">
      <c r="A927" s="207"/>
      <c r="B927" s="208"/>
      <c r="C927" s="212"/>
      <c r="D927" s="270"/>
      <c r="E927" s="208"/>
      <c r="F927" s="208"/>
      <c r="G927" s="208"/>
      <c r="H927" s="209"/>
      <c r="I927" s="210"/>
      <c r="J927" s="210"/>
      <c r="K927" s="260"/>
      <c r="L927" s="260"/>
      <c r="M927" s="260"/>
      <c r="N927" s="260"/>
      <c r="O927" s="260"/>
      <c r="P927" s="211"/>
      <c r="Q927" s="261"/>
      <c r="R927" s="208" t="str">
        <f ca="1">IF(ISERROR($V927),"",OFFSET('Smelter Look-up'!$C$4,$V927-4,0)&amp;"")</f>
        <v/>
      </c>
      <c r="S927" s="215" t="str">
        <f t="shared" ca="1" si="132"/>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si="133"/>
        <v>0</v>
      </c>
      <c r="Y927" s="263"/>
      <c r="Z927" s="263"/>
      <c r="AB927" s="265" t="str">
        <f t="shared" si="134"/>
        <v/>
      </c>
    </row>
    <row r="928" spans="1:28" s="264" customFormat="1" ht="20.399999999999999">
      <c r="A928" s="207"/>
      <c r="B928" s="208"/>
      <c r="C928" s="212"/>
      <c r="D928" s="270"/>
      <c r="E928" s="208"/>
      <c r="F928" s="208"/>
      <c r="G928" s="208"/>
      <c r="H928" s="209"/>
      <c r="I928" s="210"/>
      <c r="J928" s="210"/>
      <c r="K928" s="260"/>
      <c r="L928" s="260"/>
      <c r="M928" s="260"/>
      <c r="N928" s="260"/>
      <c r="O928" s="260"/>
      <c r="P928" s="211"/>
      <c r="Q928" s="261"/>
      <c r="R928" s="208" t="str">
        <f ca="1">IF(ISERROR($V928),"",OFFSET('Smelter Look-up'!$C$4,$V928-4,0)&amp;"")</f>
        <v/>
      </c>
      <c r="S928" s="215" t="str">
        <f t="shared" ca="1" si="132"/>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si="133"/>
        <v>0</v>
      </c>
      <c r="Y928" s="263"/>
      <c r="Z928" s="263"/>
      <c r="AB928" s="265" t="str">
        <f t="shared" si="134"/>
        <v/>
      </c>
    </row>
    <row r="929" spans="1:28" s="264" customFormat="1" ht="20.399999999999999">
      <c r="A929" s="207"/>
      <c r="B929" s="208"/>
      <c r="C929" s="212"/>
      <c r="D929" s="270"/>
      <c r="E929" s="208"/>
      <c r="F929" s="208"/>
      <c r="G929" s="208"/>
      <c r="H929" s="209"/>
      <c r="I929" s="210"/>
      <c r="J929" s="210"/>
      <c r="K929" s="260"/>
      <c r="L929" s="260"/>
      <c r="M929" s="260"/>
      <c r="N929" s="260"/>
      <c r="O929" s="260"/>
      <c r="P929" s="211"/>
      <c r="Q929" s="261"/>
      <c r="R929" s="208" t="str">
        <f ca="1">IF(ISERROR($V929),"",OFFSET('Smelter Look-up'!$C$4,$V929-4,0)&amp;"")</f>
        <v/>
      </c>
      <c r="S929" s="215" t="str">
        <f t="shared" ca="1" si="132"/>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si="133"/>
        <v>0</v>
      </c>
      <c r="Y929" s="263"/>
      <c r="Z929" s="263"/>
      <c r="AB929" s="265" t="str">
        <f t="shared" si="134"/>
        <v/>
      </c>
    </row>
    <row r="930" spans="1:28" s="264" customFormat="1" ht="20.399999999999999">
      <c r="A930" s="207"/>
      <c r="B930" s="208"/>
      <c r="C930" s="212"/>
      <c r="D930" s="270"/>
      <c r="E930" s="208"/>
      <c r="F930" s="208"/>
      <c r="G930" s="208"/>
      <c r="H930" s="209"/>
      <c r="I930" s="210"/>
      <c r="J930" s="210"/>
      <c r="K930" s="260"/>
      <c r="L930" s="260"/>
      <c r="M930" s="260"/>
      <c r="N930" s="260"/>
      <c r="O930" s="260"/>
      <c r="P930" s="211"/>
      <c r="Q930" s="261"/>
      <c r="R930" s="208" t="str">
        <f ca="1">IF(ISERROR($V930),"",OFFSET('Smelter Look-up'!$C$4,$V930-4,0)&amp;"")</f>
        <v/>
      </c>
      <c r="S930" s="215" t="str">
        <f t="shared" ca="1" si="132"/>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si="133"/>
        <v>0</v>
      </c>
      <c r="Y930" s="263"/>
      <c r="Z930" s="263"/>
      <c r="AB930" s="265" t="str">
        <f t="shared" si="134"/>
        <v/>
      </c>
    </row>
    <row r="931" spans="1:28" s="264" customFormat="1" ht="20.399999999999999">
      <c r="A931" s="207"/>
      <c r="B931" s="208"/>
      <c r="C931" s="212"/>
      <c r="D931" s="270"/>
      <c r="E931" s="208"/>
      <c r="F931" s="208"/>
      <c r="G931" s="208"/>
      <c r="H931" s="209"/>
      <c r="I931" s="210"/>
      <c r="J931" s="210"/>
      <c r="K931" s="260"/>
      <c r="L931" s="260"/>
      <c r="M931" s="260"/>
      <c r="N931" s="260"/>
      <c r="O931" s="260"/>
      <c r="P931" s="211"/>
      <c r="Q931" s="261"/>
      <c r="R931" s="208" t="str">
        <f ca="1">IF(ISERROR($V931),"",OFFSET('Smelter Look-up'!$C$4,$V931-4,0)&amp;"")</f>
        <v/>
      </c>
      <c r="S931" s="215" t="str">
        <f t="shared" ca="1" si="132"/>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si="133"/>
        <v>0</v>
      </c>
      <c r="Y931" s="263"/>
      <c r="Z931" s="263"/>
      <c r="AB931" s="265" t="str">
        <f t="shared" si="134"/>
        <v/>
      </c>
    </row>
    <row r="932" spans="1:28" s="264" customFormat="1" ht="20.399999999999999">
      <c r="A932" s="207"/>
      <c r="B932" s="208"/>
      <c r="C932" s="212"/>
      <c r="D932" s="270"/>
      <c r="E932" s="208"/>
      <c r="F932" s="208"/>
      <c r="G932" s="208"/>
      <c r="H932" s="209"/>
      <c r="I932" s="210"/>
      <c r="J932" s="210"/>
      <c r="K932" s="260"/>
      <c r="L932" s="260"/>
      <c r="M932" s="260"/>
      <c r="N932" s="260"/>
      <c r="O932" s="260"/>
      <c r="P932" s="211"/>
      <c r="Q932" s="261"/>
      <c r="R932" s="208" t="str">
        <f ca="1">IF(ISERROR($V932),"",OFFSET('Smelter Look-up'!$C$4,$V932-4,0)&amp;"")</f>
        <v/>
      </c>
      <c r="S932" s="215" t="str">
        <f t="shared" ca="1" si="132"/>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si="133"/>
        <v>0</v>
      </c>
      <c r="Y932" s="263"/>
      <c r="Z932" s="263"/>
      <c r="AB932" s="265" t="str">
        <f t="shared" si="134"/>
        <v/>
      </c>
    </row>
    <row r="933" spans="1:28" s="264" customFormat="1" ht="20.399999999999999">
      <c r="A933" s="207"/>
      <c r="B933" s="208"/>
      <c r="C933" s="212"/>
      <c r="D933" s="270"/>
      <c r="E933" s="208"/>
      <c r="F933" s="208"/>
      <c r="G933" s="208"/>
      <c r="H933" s="209"/>
      <c r="I933" s="210"/>
      <c r="J933" s="210"/>
      <c r="K933" s="260"/>
      <c r="L933" s="260"/>
      <c r="M933" s="260"/>
      <c r="N933" s="260"/>
      <c r="O933" s="260"/>
      <c r="P933" s="211"/>
      <c r="Q933" s="261"/>
      <c r="R933" s="208" t="str">
        <f ca="1">IF(ISERROR($V933),"",OFFSET('Smelter Look-up'!$C$4,$V933-4,0)&amp;"")</f>
        <v/>
      </c>
      <c r="S933" s="215" t="str">
        <f t="shared" ca="1" si="132"/>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si="133"/>
        <v>0</v>
      </c>
      <c r="Y933" s="263"/>
      <c r="Z933" s="263"/>
      <c r="AB933" s="265" t="str">
        <f t="shared" si="134"/>
        <v/>
      </c>
    </row>
    <row r="934" spans="1:28" s="264" customFormat="1" ht="20.399999999999999">
      <c r="A934" s="207"/>
      <c r="B934" s="208"/>
      <c r="C934" s="212"/>
      <c r="D934" s="270"/>
      <c r="E934" s="208"/>
      <c r="F934" s="208"/>
      <c r="G934" s="208"/>
      <c r="H934" s="209"/>
      <c r="I934" s="210"/>
      <c r="J934" s="210"/>
      <c r="K934" s="260"/>
      <c r="L934" s="260"/>
      <c r="M934" s="260"/>
      <c r="N934" s="260"/>
      <c r="O934" s="260"/>
      <c r="P934" s="211"/>
      <c r="Q934" s="261"/>
      <c r="R934" s="208" t="str">
        <f ca="1">IF(ISERROR($V934),"",OFFSET('Smelter Look-up'!$C$4,$V934-4,0)&amp;"")</f>
        <v/>
      </c>
      <c r="S934" s="215" t="str">
        <f t="shared" ca="1" si="132"/>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si="133"/>
        <v>0</v>
      </c>
      <c r="Y934" s="263"/>
      <c r="Z934" s="263"/>
      <c r="AB934" s="265" t="str">
        <f t="shared" si="134"/>
        <v/>
      </c>
    </row>
    <row r="935" spans="1:28" s="264" customFormat="1" ht="20.399999999999999">
      <c r="A935" s="207"/>
      <c r="B935" s="208"/>
      <c r="C935" s="212"/>
      <c r="D935" s="270"/>
      <c r="E935" s="208"/>
      <c r="F935" s="208"/>
      <c r="G935" s="208"/>
      <c r="H935" s="209"/>
      <c r="I935" s="210"/>
      <c r="J935" s="210"/>
      <c r="K935" s="260"/>
      <c r="L935" s="260"/>
      <c r="M935" s="260"/>
      <c r="N935" s="260"/>
      <c r="O935" s="260"/>
      <c r="P935" s="211"/>
      <c r="Q935" s="261"/>
      <c r="R935" s="208" t="str">
        <f ca="1">IF(ISERROR($V935),"",OFFSET('Smelter Look-up'!$C$4,$V935-4,0)&amp;"")</f>
        <v/>
      </c>
      <c r="S935" s="215" t="str">
        <f t="shared" ca="1" si="132"/>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si="133"/>
        <v>0</v>
      </c>
      <c r="Y935" s="263"/>
      <c r="Z935" s="263"/>
      <c r="AB935" s="265" t="str">
        <f t="shared" si="134"/>
        <v/>
      </c>
    </row>
    <row r="936" spans="1:28" s="264" customFormat="1" ht="20.399999999999999">
      <c r="A936" s="207"/>
      <c r="B936" s="208"/>
      <c r="C936" s="212"/>
      <c r="D936" s="270"/>
      <c r="E936" s="208"/>
      <c r="F936" s="208"/>
      <c r="G936" s="208"/>
      <c r="H936" s="209"/>
      <c r="I936" s="210"/>
      <c r="J936" s="210"/>
      <c r="K936" s="260"/>
      <c r="L936" s="260"/>
      <c r="M936" s="260"/>
      <c r="N936" s="260"/>
      <c r="O936" s="260"/>
      <c r="P936" s="211"/>
      <c r="Q936" s="261"/>
      <c r="R936" s="208" t="str">
        <f ca="1">IF(ISERROR($V936),"",OFFSET('Smelter Look-up'!$C$4,$V936-4,0)&amp;"")</f>
        <v/>
      </c>
      <c r="S936" s="215" t="str">
        <f t="shared" ca="1" si="132"/>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si="133"/>
        <v>0</v>
      </c>
      <c r="Y936" s="263"/>
      <c r="Z936" s="263"/>
      <c r="AB936" s="265" t="str">
        <f t="shared" si="134"/>
        <v/>
      </c>
    </row>
    <row r="937" spans="1:28" s="264" customFormat="1" ht="20.399999999999999">
      <c r="A937" s="207"/>
      <c r="B937" s="208"/>
      <c r="C937" s="212"/>
      <c r="D937" s="270"/>
      <c r="E937" s="208"/>
      <c r="F937" s="208"/>
      <c r="G937" s="208"/>
      <c r="H937" s="209"/>
      <c r="I937" s="210"/>
      <c r="J937" s="210"/>
      <c r="K937" s="260"/>
      <c r="L937" s="260"/>
      <c r="M937" s="260"/>
      <c r="N937" s="260"/>
      <c r="O937" s="260"/>
      <c r="P937" s="211"/>
      <c r="Q937" s="261"/>
      <c r="R937" s="208" t="str">
        <f ca="1">IF(ISERROR($V937),"",OFFSET('Smelter Look-up'!$C$4,$V937-4,0)&amp;"")</f>
        <v/>
      </c>
      <c r="S937" s="215" t="str">
        <f t="shared" ca="1" si="132"/>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si="133"/>
        <v>0</v>
      </c>
      <c r="Y937" s="263"/>
      <c r="Z937" s="263"/>
      <c r="AB937" s="265" t="str">
        <f t="shared" si="134"/>
        <v/>
      </c>
    </row>
    <row r="938" spans="1:28" s="264" customFormat="1" ht="20.399999999999999">
      <c r="A938" s="207"/>
      <c r="B938" s="208"/>
      <c r="C938" s="212"/>
      <c r="D938" s="270"/>
      <c r="E938" s="208"/>
      <c r="F938" s="208"/>
      <c r="G938" s="208"/>
      <c r="H938" s="209"/>
      <c r="I938" s="210"/>
      <c r="J938" s="210"/>
      <c r="K938" s="260"/>
      <c r="L938" s="260"/>
      <c r="M938" s="260"/>
      <c r="N938" s="260"/>
      <c r="O938" s="260"/>
      <c r="P938" s="211"/>
      <c r="Q938" s="261"/>
      <c r="R938" s="208" t="str">
        <f ca="1">IF(ISERROR($V938),"",OFFSET('Smelter Look-up'!$C$4,$V938-4,0)&amp;"")</f>
        <v/>
      </c>
      <c r="S938" s="215" t="str">
        <f t="shared" ca="1" si="132"/>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si="133"/>
        <v>0</v>
      </c>
      <c r="Y938" s="263"/>
      <c r="Z938" s="263"/>
      <c r="AB938" s="265" t="str">
        <f t="shared" si="134"/>
        <v/>
      </c>
    </row>
    <row r="939" spans="1:28" s="264" customFormat="1" ht="20.399999999999999">
      <c r="A939" s="207"/>
      <c r="B939" s="208"/>
      <c r="C939" s="212"/>
      <c r="D939" s="270"/>
      <c r="E939" s="208"/>
      <c r="F939" s="208"/>
      <c r="G939" s="208"/>
      <c r="H939" s="209"/>
      <c r="I939" s="210"/>
      <c r="J939" s="210"/>
      <c r="K939" s="260"/>
      <c r="L939" s="260"/>
      <c r="M939" s="260"/>
      <c r="N939" s="260"/>
      <c r="O939" s="260"/>
      <c r="P939" s="211"/>
      <c r="Q939" s="261"/>
      <c r="R939" s="208" t="str">
        <f ca="1">IF(ISERROR($V939),"",OFFSET('Smelter Look-up'!$C$4,$V939-4,0)&amp;"")</f>
        <v/>
      </c>
      <c r="S939" s="215" t="str">
        <f t="shared" ca="1" si="132"/>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si="133"/>
        <v>0</v>
      </c>
      <c r="Y939" s="263"/>
      <c r="Z939" s="263"/>
      <c r="AB939" s="265" t="str">
        <f t="shared" si="134"/>
        <v/>
      </c>
    </row>
    <row r="940" spans="1:28" s="264" customFormat="1" ht="20.399999999999999">
      <c r="A940" s="207"/>
      <c r="B940" s="208"/>
      <c r="C940" s="212"/>
      <c r="D940" s="270"/>
      <c r="E940" s="208"/>
      <c r="F940" s="208"/>
      <c r="G940" s="208"/>
      <c r="H940" s="209"/>
      <c r="I940" s="210"/>
      <c r="J940" s="210"/>
      <c r="K940" s="260"/>
      <c r="L940" s="260"/>
      <c r="M940" s="260"/>
      <c r="N940" s="260"/>
      <c r="O940" s="260"/>
      <c r="P940" s="211"/>
      <c r="Q940" s="261"/>
      <c r="R940" s="208" t="str">
        <f ca="1">IF(ISERROR($V940),"",OFFSET('Smelter Look-up'!$C$4,$V940-4,0)&amp;"")</f>
        <v/>
      </c>
      <c r="S940" s="215" t="str">
        <f t="shared" ca="1" si="132"/>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si="133"/>
        <v>0</v>
      </c>
      <c r="Y940" s="263"/>
      <c r="Z940" s="263"/>
      <c r="AB940" s="265" t="str">
        <f t="shared" si="134"/>
        <v/>
      </c>
    </row>
    <row r="941" spans="1:28" s="264" customFormat="1" ht="20.399999999999999">
      <c r="A941" s="207"/>
      <c r="B941" s="208"/>
      <c r="C941" s="212"/>
      <c r="D941" s="270"/>
      <c r="E941" s="208"/>
      <c r="F941" s="208"/>
      <c r="G941" s="208"/>
      <c r="H941" s="209"/>
      <c r="I941" s="210"/>
      <c r="J941" s="210"/>
      <c r="K941" s="260"/>
      <c r="L941" s="260"/>
      <c r="M941" s="260"/>
      <c r="N941" s="260"/>
      <c r="O941" s="260"/>
      <c r="P941" s="211"/>
      <c r="Q941" s="261"/>
      <c r="R941" s="208" t="str">
        <f ca="1">IF(ISERROR($V941),"",OFFSET('Smelter Look-up'!$C$4,$V941-4,0)&amp;"")</f>
        <v/>
      </c>
      <c r="S941" s="215" t="str">
        <f t="shared" ca="1" si="132"/>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si="133"/>
        <v>0</v>
      </c>
      <c r="Y941" s="263"/>
      <c r="Z941" s="263"/>
      <c r="AB941" s="265" t="str">
        <f t="shared" si="134"/>
        <v/>
      </c>
    </row>
    <row r="942" spans="1:28" s="264" customFormat="1" ht="20.399999999999999">
      <c r="A942" s="207"/>
      <c r="B942" s="208"/>
      <c r="C942" s="212"/>
      <c r="D942" s="270"/>
      <c r="E942" s="208"/>
      <c r="F942" s="208"/>
      <c r="G942" s="208"/>
      <c r="H942" s="209"/>
      <c r="I942" s="210"/>
      <c r="J942" s="210"/>
      <c r="K942" s="260"/>
      <c r="L942" s="260"/>
      <c r="M942" s="260"/>
      <c r="N942" s="260"/>
      <c r="O942" s="260"/>
      <c r="P942" s="211"/>
      <c r="Q942" s="261"/>
      <c r="R942" s="208" t="str">
        <f ca="1">IF(ISERROR($V942),"",OFFSET('Smelter Look-up'!$C$4,$V942-4,0)&amp;"")</f>
        <v/>
      </c>
      <c r="S942" s="215" t="str">
        <f t="shared" ca="1" si="132"/>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si="133"/>
        <v>0</v>
      </c>
      <c r="Y942" s="263"/>
      <c r="Z942" s="263"/>
      <c r="AB942" s="265" t="str">
        <f t="shared" si="134"/>
        <v/>
      </c>
    </row>
    <row r="943" spans="1:28" s="264" customFormat="1" ht="20.399999999999999">
      <c r="A943" s="207"/>
      <c r="B943" s="208"/>
      <c r="C943" s="212"/>
      <c r="D943" s="270"/>
      <c r="E943" s="208"/>
      <c r="F943" s="208"/>
      <c r="G943" s="208"/>
      <c r="H943" s="209"/>
      <c r="I943" s="210"/>
      <c r="J943" s="210"/>
      <c r="K943" s="260"/>
      <c r="L943" s="260"/>
      <c r="M943" s="260"/>
      <c r="N943" s="260"/>
      <c r="O943" s="260"/>
      <c r="P943" s="211"/>
      <c r="Q943" s="261"/>
      <c r="R943" s="208" t="str">
        <f ca="1">IF(ISERROR($V943),"",OFFSET('Smelter Look-up'!$C$4,$V943-4,0)&amp;"")</f>
        <v/>
      </c>
      <c r="S943" s="215" t="str">
        <f t="shared" ca="1" si="132"/>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si="133"/>
        <v>0</v>
      </c>
      <c r="Y943" s="263"/>
      <c r="Z943" s="263"/>
      <c r="AB943" s="265" t="str">
        <f t="shared" si="134"/>
        <v/>
      </c>
    </row>
    <row r="944" spans="1:28" s="264" customFormat="1" ht="20.399999999999999">
      <c r="A944" s="207"/>
      <c r="B944" s="208"/>
      <c r="C944" s="212"/>
      <c r="D944" s="270"/>
      <c r="E944" s="208"/>
      <c r="F944" s="208"/>
      <c r="G944" s="208"/>
      <c r="H944" s="209"/>
      <c r="I944" s="210"/>
      <c r="J944" s="210"/>
      <c r="K944" s="260"/>
      <c r="L944" s="260"/>
      <c r="M944" s="260"/>
      <c r="N944" s="260"/>
      <c r="O944" s="260"/>
      <c r="P944" s="211"/>
      <c r="Q944" s="261"/>
      <c r="R944" s="208" t="str">
        <f ca="1">IF(ISERROR($V944),"",OFFSET('Smelter Look-up'!$C$4,$V944-4,0)&amp;"")</f>
        <v/>
      </c>
      <c r="S944" s="215" t="str">
        <f t="shared" ca="1" si="132"/>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si="133"/>
        <v>0</v>
      </c>
      <c r="Y944" s="263"/>
      <c r="Z944" s="263"/>
      <c r="AB944" s="265" t="str">
        <f t="shared" si="134"/>
        <v/>
      </c>
    </row>
    <row r="945" spans="1:28" s="264" customFormat="1" ht="20.399999999999999">
      <c r="A945" s="207"/>
      <c r="B945" s="208"/>
      <c r="C945" s="212"/>
      <c r="D945" s="270"/>
      <c r="E945" s="208"/>
      <c r="F945" s="208"/>
      <c r="G945" s="208"/>
      <c r="H945" s="209"/>
      <c r="I945" s="210"/>
      <c r="J945" s="210"/>
      <c r="K945" s="260"/>
      <c r="L945" s="260"/>
      <c r="M945" s="260"/>
      <c r="N945" s="260"/>
      <c r="O945" s="260"/>
      <c r="P945" s="211"/>
      <c r="Q945" s="261"/>
      <c r="R945" s="208" t="str">
        <f ca="1">IF(ISERROR($V945),"",OFFSET('Smelter Look-up'!$C$4,$V945-4,0)&amp;"")</f>
        <v/>
      </c>
      <c r="S945" s="215" t="str">
        <f t="shared" ca="1" si="132"/>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si="133"/>
        <v>0</v>
      </c>
      <c r="Y945" s="263"/>
      <c r="Z945" s="263"/>
      <c r="AB945" s="265" t="str">
        <f t="shared" si="134"/>
        <v/>
      </c>
    </row>
    <row r="946" spans="1:28" s="264" customFormat="1" ht="20.399999999999999">
      <c r="A946" s="207"/>
      <c r="B946" s="208"/>
      <c r="C946" s="212"/>
      <c r="D946" s="270"/>
      <c r="E946" s="208"/>
      <c r="F946" s="208"/>
      <c r="G946" s="208"/>
      <c r="H946" s="209"/>
      <c r="I946" s="210"/>
      <c r="J946" s="210"/>
      <c r="K946" s="260"/>
      <c r="L946" s="260"/>
      <c r="M946" s="260"/>
      <c r="N946" s="260"/>
      <c r="O946" s="260"/>
      <c r="P946" s="211"/>
      <c r="Q946" s="261"/>
      <c r="R946" s="208" t="str">
        <f ca="1">IF(ISERROR($V946),"",OFFSET('Smelter Look-up'!$C$4,$V946-4,0)&amp;"")</f>
        <v/>
      </c>
      <c r="S946" s="215" t="str">
        <f t="shared" ca="1" si="132"/>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si="133"/>
        <v>0</v>
      </c>
      <c r="Y946" s="263"/>
      <c r="Z946" s="263"/>
      <c r="AB946" s="265" t="str">
        <f t="shared" si="134"/>
        <v/>
      </c>
    </row>
    <row r="947" spans="1:28" s="264" customFormat="1" ht="20.399999999999999">
      <c r="A947" s="207"/>
      <c r="B947" s="208"/>
      <c r="C947" s="212"/>
      <c r="D947" s="270"/>
      <c r="E947" s="208"/>
      <c r="F947" s="208"/>
      <c r="G947" s="208"/>
      <c r="H947" s="209"/>
      <c r="I947" s="210"/>
      <c r="J947" s="210"/>
      <c r="K947" s="260"/>
      <c r="L947" s="260"/>
      <c r="M947" s="260"/>
      <c r="N947" s="260"/>
      <c r="O947" s="260"/>
      <c r="P947" s="211"/>
      <c r="Q947" s="261"/>
      <c r="R947" s="208" t="str">
        <f ca="1">IF(ISERROR($V947),"",OFFSET('Smelter Look-up'!$C$4,$V947-4,0)&amp;"")</f>
        <v/>
      </c>
      <c r="S947" s="215" t="str">
        <f t="shared" ca="1" si="132"/>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si="133"/>
        <v>0</v>
      </c>
      <c r="Y947" s="263"/>
      <c r="Z947" s="263"/>
      <c r="AB947" s="265" t="str">
        <f t="shared" si="134"/>
        <v/>
      </c>
    </row>
    <row r="948" spans="1:28" s="264" customFormat="1" ht="20.399999999999999">
      <c r="A948" s="207"/>
      <c r="B948" s="208"/>
      <c r="C948" s="212"/>
      <c r="D948" s="270"/>
      <c r="E948" s="208"/>
      <c r="F948" s="208"/>
      <c r="G948" s="208"/>
      <c r="H948" s="209"/>
      <c r="I948" s="210"/>
      <c r="J948" s="210"/>
      <c r="K948" s="260"/>
      <c r="L948" s="260"/>
      <c r="M948" s="260"/>
      <c r="N948" s="260"/>
      <c r="O948" s="260"/>
      <c r="P948" s="211"/>
      <c r="Q948" s="261"/>
      <c r="R948" s="208" t="str">
        <f ca="1">IF(ISERROR($V948),"",OFFSET('Smelter Look-up'!$C$4,$V948-4,0)&amp;"")</f>
        <v/>
      </c>
      <c r="S948" s="215" t="str">
        <f t="shared" ca="1" si="132"/>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si="133"/>
        <v>0</v>
      </c>
      <c r="Y948" s="263"/>
      <c r="Z948" s="263"/>
      <c r="AB948" s="265" t="str">
        <f t="shared" si="134"/>
        <v/>
      </c>
    </row>
    <row r="949" spans="1:28" s="264" customFormat="1" ht="20.399999999999999">
      <c r="A949" s="207"/>
      <c r="B949" s="208"/>
      <c r="C949" s="212"/>
      <c r="D949" s="270"/>
      <c r="E949" s="208"/>
      <c r="F949" s="208"/>
      <c r="G949" s="208"/>
      <c r="H949" s="209"/>
      <c r="I949" s="210"/>
      <c r="J949" s="210"/>
      <c r="K949" s="260"/>
      <c r="L949" s="260"/>
      <c r="M949" s="260"/>
      <c r="N949" s="260"/>
      <c r="O949" s="260"/>
      <c r="P949" s="211"/>
      <c r="Q949" s="261"/>
      <c r="R949" s="208" t="str">
        <f ca="1">IF(ISERROR($V949),"",OFFSET('Smelter Look-up'!$C$4,$V949-4,0)&amp;"")</f>
        <v/>
      </c>
      <c r="S949" s="215" t="str">
        <f t="shared" ca="1" si="132"/>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si="133"/>
        <v>0</v>
      </c>
      <c r="Y949" s="263"/>
      <c r="Z949" s="263"/>
      <c r="AB949" s="265" t="str">
        <f t="shared" si="134"/>
        <v/>
      </c>
    </row>
    <row r="950" spans="1:28" s="264" customFormat="1" ht="20.399999999999999">
      <c r="A950" s="207"/>
      <c r="B950" s="208"/>
      <c r="C950" s="212"/>
      <c r="D950" s="270"/>
      <c r="E950" s="208"/>
      <c r="F950" s="208"/>
      <c r="G950" s="208"/>
      <c r="H950" s="209"/>
      <c r="I950" s="210"/>
      <c r="J950" s="210"/>
      <c r="K950" s="260"/>
      <c r="L950" s="260"/>
      <c r="M950" s="260"/>
      <c r="N950" s="260"/>
      <c r="O950" s="260"/>
      <c r="P950" s="211"/>
      <c r="Q950" s="261"/>
      <c r="R950" s="208" t="str">
        <f ca="1">IF(ISERROR($V950),"",OFFSET('Smelter Look-up'!$C$4,$V950-4,0)&amp;"")</f>
        <v/>
      </c>
      <c r="S950" s="215" t="str">
        <f t="shared" ca="1" si="132"/>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si="133"/>
        <v>0</v>
      </c>
      <c r="Y950" s="263"/>
      <c r="Z950" s="263"/>
      <c r="AB950" s="265" t="str">
        <f t="shared" si="134"/>
        <v/>
      </c>
    </row>
    <row r="951" spans="1:28" s="264" customFormat="1" ht="20.399999999999999">
      <c r="A951" s="207"/>
      <c r="B951" s="208"/>
      <c r="C951" s="212"/>
      <c r="D951" s="270"/>
      <c r="E951" s="208"/>
      <c r="F951" s="208"/>
      <c r="G951" s="208"/>
      <c r="H951" s="209"/>
      <c r="I951" s="210"/>
      <c r="J951" s="210"/>
      <c r="K951" s="260"/>
      <c r="L951" s="260"/>
      <c r="M951" s="260"/>
      <c r="N951" s="260"/>
      <c r="O951" s="260"/>
      <c r="P951" s="211"/>
      <c r="Q951" s="261"/>
      <c r="R951" s="208" t="str">
        <f ca="1">IF(ISERROR($V951),"",OFFSET('Smelter Look-up'!$C$4,$V951-4,0)&amp;"")</f>
        <v/>
      </c>
      <c r="S951" s="215" t="str">
        <f t="shared" ca="1" si="132"/>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si="133"/>
        <v>0</v>
      </c>
      <c r="Y951" s="263"/>
      <c r="Z951" s="263"/>
      <c r="AB951" s="265" t="str">
        <f t="shared" si="134"/>
        <v/>
      </c>
    </row>
    <row r="952" spans="1:28" s="264" customFormat="1" ht="20.399999999999999">
      <c r="A952" s="207"/>
      <c r="B952" s="208"/>
      <c r="C952" s="212"/>
      <c r="D952" s="270"/>
      <c r="E952" s="208"/>
      <c r="F952" s="208"/>
      <c r="G952" s="208"/>
      <c r="H952" s="209"/>
      <c r="I952" s="210"/>
      <c r="J952" s="210"/>
      <c r="K952" s="260"/>
      <c r="L952" s="260"/>
      <c r="M952" s="260"/>
      <c r="N952" s="260"/>
      <c r="O952" s="260"/>
      <c r="P952" s="211"/>
      <c r="Q952" s="261"/>
      <c r="R952" s="208" t="str">
        <f ca="1">IF(ISERROR($V952),"",OFFSET('Smelter Look-up'!$C$4,$V952-4,0)&amp;"")</f>
        <v/>
      </c>
      <c r="S952" s="215" t="str">
        <f t="shared" ca="1" si="132"/>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si="133"/>
        <v>0</v>
      </c>
      <c r="Y952" s="263"/>
      <c r="Z952" s="263"/>
      <c r="AB952" s="265" t="str">
        <f t="shared" si="134"/>
        <v/>
      </c>
    </row>
    <row r="953" spans="1:28" s="264" customFormat="1" ht="20.399999999999999">
      <c r="A953" s="207"/>
      <c r="B953" s="208"/>
      <c r="C953" s="212"/>
      <c r="D953" s="270"/>
      <c r="E953" s="208"/>
      <c r="F953" s="208"/>
      <c r="G953" s="208"/>
      <c r="H953" s="209"/>
      <c r="I953" s="210"/>
      <c r="J953" s="210"/>
      <c r="K953" s="260"/>
      <c r="L953" s="260"/>
      <c r="M953" s="260"/>
      <c r="N953" s="260"/>
      <c r="O953" s="260"/>
      <c r="P953" s="211"/>
      <c r="Q953" s="261"/>
      <c r="R953" s="208" t="str">
        <f ca="1">IF(ISERROR($V953),"",OFFSET('Smelter Look-up'!$C$4,$V953-4,0)&amp;"")</f>
        <v/>
      </c>
      <c r="S953" s="215" t="str">
        <f t="shared" ca="1" si="132"/>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si="133"/>
        <v>0</v>
      </c>
      <c r="Y953" s="263"/>
      <c r="Z953" s="263"/>
      <c r="AB953" s="265" t="str">
        <f t="shared" si="134"/>
        <v/>
      </c>
    </row>
    <row r="954" spans="1:28" s="264" customFormat="1" ht="20.399999999999999">
      <c r="A954" s="207"/>
      <c r="B954" s="208"/>
      <c r="C954" s="212"/>
      <c r="D954" s="270"/>
      <c r="E954" s="208"/>
      <c r="F954" s="208"/>
      <c r="G954" s="208"/>
      <c r="H954" s="209"/>
      <c r="I954" s="210"/>
      <c r="J954" s="210"/>
      <c r="K954" s="260"/>
      <c r="L954" s="260"/>
      <c r="M954" s="260"/>
      <c r="N954" s="260"/>
      <c r="O954" s="260"/>
      <c r="P954" s="211"/>
      <c r="Q954" s="261"/>
      <c r="R954" s="208" t="str">
        <f ca="1">IF(ISERROR($V954),"",OFFSET('Smelter Look-up'!$C$4,$V954-4,0)&amp;"")</f>
        <v/>
      </c>
      <c r="S954" s="215" t="str">
        <f t="shared" ca="1" si="132"/>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si="133"/>
        <v>0</v>
      </c>
      <c r="Y954" s="263"/>
      <c r="Z954" s="263"/>
      <c r="AB954" s="265" t="str">
        <f t="shared" si="134"/>
        <v/>
      </c>
    </row>
    <row r="955" spans="1:28" s="264" customFormat="1" ht="20.399999999999999">
      <c r="A955" s="207"/>
      <c r="B955" s="208"/>
      <c r="C955" s="212"/>
      <c r="D955" s="270"/>
      <c r="E955" s="208"/>
      <c r="F955" s="208"/>
      <c r="G955" s="208"/>
      <c r="H955" s="209"/>
      <c r="I955" s="210"/>
      <c r="J955" s="210"/>
      <c r="K955" s="260"/>
      <c r="L955" s="260"/>
      <c r="M955" s="260"/>
      <c r="N955" s="260"/>
      <c r="O955" s="260"/>
      <c r="P955" s="211"/>
      <c r="Q955" s="261"/>
      <c r="R955" s="208" t="str">
        <f ca="1">IF(ISERROR($V955),"",OFFSET('Smelter Look-up'!$C$4,$V955-4,0)&amp;"")</f>
        <v/>
      </c>
      <c r="S955" s="215" t="str">
        <f t="shared" ref="S955" ca="1" si="135">IF(B955="","",IF(ISERROR(MATCH($E955,CL,0)),"Unknown",INDIRECT("'C'!$A$"&amp;MATCH($E955,CL,0)+1)))</f>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ref="X955" si="136">IF(AND(C955="Smelter not listed",OR(LEN(D955)=0,LEN(E955)=0)),1,0)</f>
        <v>0</v>
      </c>
      <c r="Y955" s="263"/>
      <c r="Z955" s="263"/>
      <c r="AB955" s="265" t="str">
        <f t="shared" ref="AB955" si="137">B955&amp;C955</f>
        <v/>
      </c>
    </row>
    <row r="956" spans="1:28" s="264" customFormat="1" ht="20.399999999999999">
      <c r="A956" s="207"/>
      <c r="B956" s="208"/>
      <c r="C956" s="212"/>
      <c r="D956" s="270"/>
      <c r="E956" s="208"/>
      <c r="F956" s="208"/>
      <c r="G956" s="208"/>
      <c r="H956" s="209"/>
      <c r="I956" s="210"/>
      <c r="J956" s="210"/>
      <c r="K956" s="260"/>
      <c r="L956" s="260"/>
      <c r="M956" s="260"/>
      <c r="N956" s="260"/>
      <c r="O956" s="260"/>
      <c r="P956" s="211"/>
      <c r="Q956" s="261"/>
      <c r="R956" s="208" t="str">
        <f ca="1">IF(ISERROR($V956),"",OFFSET('Smelter Look-up'!$C$4,$V956-4,0)&amp;"")</f>
        <v/>
      </c>
      <c r="S956" s="215" t="str">
        <f t="shared" ref="S956:S987" ca="1" si="138">IF(B956="","",IF(ISERROR(MATCH($E956,CL,0)),"Unknown",INDIRECT("'C'!$A$"&amp;MATCH($E956,CL,0)+1)))</f>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ref="X956:X987" si="139">IF(AND(C956="Smelter not listed",OR(LEN(D956)=0,LEN(E956)=0)),1,0)</f>
        <v>0</v>
      </c>
      <c r="Y956" s="263"/>
      <c r="Z956" s="263"/>
      <c r="AB956" s="265" t="str">
        <f t="shared" ref="AB956:AB987" si="140">B956&amp;C956</f>
        <v/>
      </c>
    </row>
    <row r="957" spans="1:28" s="264" customFormat="1" ht="20.399999999999999">
      <c r="A957" s="207"/>
      <c r="B957" s="208"/>
      <c r="C957" s="212"/>
      <c r="D957" s="270"/>
      <c r="E957" s="208"/>
      <c r="F957" s="208"/>
      <c r="G957" s="208"/>
      <c r="H957" s="209"/>
      <c r="I957" s="210"/>
      <c r="J957" s="210"/>
      <c r="K957" s="260"/>
      <c r="L957" s="260"/>
      <c r="M957" s="260"/>
      <c r="N957" s="260"/>
      <c r="O957" s="260"/>
      <c r="P957" s="211"/>
      <c r="Q957" s="261"/>
      <c r="R957" s="208" t="str">
        <f ca="1">IF(ISERROR($V957),"",OFFSET('Smelter Look-up'!$C$4,$V957-4,0)&amp;"")</f>
        <v/>
      </c>
      <c r="S957" s="215" t="str">
        <f t="shared" ca="1" si="138"/>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si="139"/>
        <v>0</v>
      </c>
      <c r="Y957" s="263"/>
      <c r="Z957" s="263"/>
      <c r="AB957" s="265" t="str">
        <f t="shared" si="140"/>
        <v/>
      </c>
    </row>
    <row r="958" spans="1:28" s="264" customFormat="1" ht="20.399999999999999">
      <c r="A958" s="207"/>
      <c r="B958" s="208"/>
      <c r="C958" s="212"/>
      <c r="D958" s="270"/>
      <c r="E958" s="208"/>
      <c r="F958" s="208"/>
      <c r="G958" s="208"/>
      <c r="H958" s="209"/>
      <c r="I958" s="210"/>
      <c r="J958" s="210"/>
      <c r="K958" s="260"/>
      <c r="L958" s="260"/>
      <c r="M958" s="260"/>
      <c r="N958" s="260"/>
      <c r="O958" s="260"/>
      <c r="P958" s="211"/>
      <c r="Q958" s="261"/>
      <c r="R958" s="208" t="str">
        <f ca="1">IF(ISERROR($V958),"",OFFSET('Smelter Look-up'!$C$4,$V958-4,0)&amp;"")</f>
        <v/>
      </c>
      <c r="S958" s="215" t="str">
        <f t="shared" ca="1" si="138"/>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si="139"/>
        <v>0</v>
      </c>
      <c r="Y958" s="263"/>
      <c r="Z958" s="263"/>
      <c r="AB958" s="265" t="str">
        <f t="shared" si="140"/>
        <v/>
      </c>
    </row>
    <row r="959" spans="1:28" s="264" customFormat="1" ht="20.399999999999999">
      <c r="A959" s="207"/>
      <c r="B959" s="208"/>
      <c r="C959" s="212"/>
      <c r="D959" s="270"/>
      <c r="E959" s="208"/>
      <c r="F959" s="208"/>
      <c r="G959" s="208"/>
      <c r="H959" s="209"/>
      <c r="I959" s="210"/>
      <c r="J959" s="210"/>
      <c r="K959" s="260"/>
      <c r="L959" s="260"/>
      <c r="M959" s="260"/>
      <c r="N959" s="260"/>
      <c r="O959" s="260"/>
      <c r="P959" s="211"/>
      <c r="Q959" s="261"/>
      <c r="R959" s="208" t="str">
        <f ca="1">IF(ISERROR($V959),"",OFFSET('Smelter Look-up'!$C$4,$V959-4,0)&amp;"")</f>
        <v/>
      </c>
      <c r="S959" s="215" t="str">
        <f t="shared" ca="1" si="138"/>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si="139"/>
        <v>0</v>
      </c>
      <c r="Y959" s="263"/>
      <c r="Z959" s="263"/>
      <c r="AB959" s="265" t="str">
        <f t="shared" si="140"/>
        <v/>
      </c>
    </row>
    <row r="960" spans="1:28" s="264" customFormat="1" ht="20.399999999999999">
      <c r="A960" s="207"/>
      <c r="B960" s="208"/>
      <c r="C960" s="212"/>
      <c r="D960" s="270"/>
      <c r="E960" s="208"/>
      <c r="F960" s="208"/>
      <c r="G960" s="208"/>
      <c r="H960" s="209"/>
      <c r="I960" s="210"/>
      <c r="J960" s="210"/>
      <c r="K960" s="260"/>
      <c r="L960" s="260"/>
      <c r="M960" s="260"/>
      <c r="N960" s="260"/>
      <c r="O960" s="260"/>
      <c r="P960" s="211"/>
      <c r="Q960" s="261"/>
      <c r="R960" s="208" t="str">
        <f ca="1">IF(ISERROR($V960),"",OFFSET('Smelter Look-up'!$C$4,$V960-4,0)&amp;"")</f>
        <v/>
      </c>
      <c r="S960" s="215" t="str">
        <f t="shared" ca="1" si="138"/>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si="139"/>
        <v>0</v>
      </c>
      <c r="Y960" s="263"/>
      <c r="Z960" s="263"/>
      <c r="AB960" s="265" t="str">
        <f t="shared" si="140"/>
        <v/>
      </c>
    </row>
    <row r="961" spans="1:28" s="264" customFormat="1" ht="20.399999999999999">
      <c r="A961" s="207"/>
      <c r="B961" s="208"/>
      <c r="C961" s="212"/>
      <c r="D961" s="270"/>
      <c r="E961" s="208"/>
      <c r="F961" s="208"/>
      <c r="G961" s="208"/>
      <c r="H961" s="209"/>
      <c r="I961" s="210"/>
      <c r="J961" s="210"/>
      <c r="K961" s="260"/>
      <c r="L961" s="260"/>
      <c r="M961" s="260"/>
      <c r="N961" s="260"/>
      <c r="O961" s="260"/>
      <c r="P961" s="211"/>
      <c r="Q961" s="261"/>
      <c r="R961" s="208" t="str">
        <f ca="1">IF(ISERROR($V961),"",OFFSET('Smelter Look-up'!$C$4,$V961-4,0)&amp;"")</f>
        <v/>
      </c>
      <c r="S961" s="215" t="str">
        <f t="shared" ca="1" si="138"/>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si="139"/>
        <v>0</v>
      </c>
      <c r="Y961" s="263"/>
      <c r="Z961" s="263"/>
      <c r="AB961" s="265" t="str">
        <f t="shared" si="140"/>
        <v/>
      </c>
    </row>
    <row r="962" spans="1:28" s="264" customFormat="1" ht="20.399999999999999">
      <c r="A962" s="207"/>
      <c r="B962" s="208"/>
      <c r="C962" s="212"/>
      <c r="D962" s="270"/>
      <c r="E962" s="208"/>
      <c r="F962" s="208"/>
      <c r="G962" s="208"/>
      <c r="H962" s="209"/>
      <c r="I962" s="210"/>
      <c r="J962" s="210"/>
      <c r="K962" s="260"/>
      <c r="L962" s="260"/>
      <c r="M962" s="260"/>
      <c r="N962" s="260"/>
      <c r="O962" s="260"/>
      <c r="P962" s="211"/>
      <c r="Q962" s="261"/>
      <c r="R962" s="208" t="str">
        <f ca="1">IF(ISERROR($V962),"",OFFSET('Smelter Look-up'!$C$4,$V962-4,0)&amp;"")</f>
        <v/>
      </c>
      <c r="S962" s="215" t="str">
        <f t="shared" ca="1" si="138"/>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si="139"/>
        <v>0</v>
      </c>
      <c r="Y962" s="263"/>
      <c r="Z962" s="263"/>
      <c r="AB962" s="265" t="str">
        <f t="shared" si="140"/>
        <v/>
      </c>
    </row>
    <row r="963" spans="1:28" s="264" customFormat="1" ht="20.399999999999999">
      <c r="A963" s="207"/>
      <c r="B963" s="208"/>
      <c r="C963" s="212"/>
      <c r="D963" s="270"/>
      <c r="E963" s="208"/>
      <c r="F963" s="208"/>
      <c r="G963" s="208"/>
      <c r="H963" s="209"/>
      <c r="I963" s="210"/>
      <c r="J963" s="210"/>
      <c r="K963" s="260"/>
      <c r="L963" s="260"/>
      <c r="M963" s="260"/>
      <c r="N963" s="260"/>
      <c r="O963" s="260"/>
      <c r="P963" s="211"/>
      <c r="Q963" s="261"/>
      <c r="R963" s="208" t="str">
        <f ca="1">IF(ISERROR($V963),"",OFFSET('Smelter Look-up'!$C$4,$V963-4,0)&amp;"")</f>
        <v/>
      </c>
      <c r="S963" s="215" t="str">
        <f t="shared" ca="1" si="138"/>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si="139"/>
        <v>0</v>
      </c>
      <c r="Y963" s="263"/>
      <c r="Z963" s="263"/>
      <c r="AB963" s="265" t="str">
        <f t="shared" si="140"/>
        <v/>
      </c>
    </row>
    <row r="964" spans="1:28" s="264" customFormat="1" ht="20.399999999999999">
      <c r="A964" s="207"/>
      <c r="B964" s="208"/>
      <c r="C964" s="212"/>
      <c r="D964" s="270"/>
      <c r="E964" s="208"/>
      <c r="F964" s="208"/>
      <c r="G964" s="208"/>
      <c r="H964" s="209"/>
      <c r="I964" s="210"/>
      <c r="J964" s="210"/>
      <c r="K964" s="260"/>
      <c r="L964" s="260"/>
      <c r="M964" s="260"/>
      <c r="N964" s="260"/>
      <c r="O964" s="260"/>
      <c r="P964" s="211"/>
      <c r="Q964" s="261"/>
      <c r="R964" s="208" t="str">
        <f ca="1">IF(ISERROR($V964),"",OFFSET('Smelter Look-up'!$C$4,$V964-4,0)&amp;"")</f>
        <v/>
      </c>
      <c r="S964" s="215" t="str">
        <f t="shared" ca="1" si="138"/>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si="139"/>
        <v>0</v>
      </c>
      <c r="Y964" s="263"/>
      <c r="Z964" s="263"/>
      <c r="AB964" s="265" t="str">
        <f t="shared" si="140"/>
        <v/>
      </c>
    </row>
    <row r="965" spans="1:28" s="264" customFormat="1" ht="20.399999999999999">
      <c r="A965" s="207"/>
      <c r="B965" s="208"/>
      <c r="C965" s="212"/>
      <c r="D965" s="270"/>
      <c r="E965" s="208"/>
      <c r="F965" s="208"/>
      <c r="G965" s="208"/>
      <c r="H965" s="209"/>
      <c r="I965" s="210"/>
      <c r="J965" s="210"/>
      <c r="K965" s="260"/>
      <c r="L965" s="260"/>
      <c r="M965" s="260"/>
      <c r="N965" s="260"/>
      <c r="O965" s="260"/>
      <c r="P965" s="211"/>
      <c r="Q965" s="261"/>
      <c r="R965" s="208" t="str">
        <f ca="1">IF(ISERROR($V965),"",OFFSET('Smelter Look-up'!$C$4,$V965-4,0)&amp;"")</f>
        <v/>
      </c>
      <c r="S965" s="215" t="str">
        <f t="shared" ca="1" si="138"/>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si="139"/>
        <v>0</v>
      </c>
      <c r="Y965" s="263"/>
      <c r="Z965" s="263"/>
      <c r="AB965" s="265" t="str">
        <f t="shared" si="140"/>
        <v/>
      </c>
    </row>
    <row r="966" spans="1:28" s="264" customFormat="1" ht="20.399999999999999">
      <c r="A966" s="207"/>
      <c r="B966" s="208"/>
      <c r="C966" s="212"/>
      <c r="D966" s="270"/>
      <c r="E966" s="208"/>
      <c r="F966" s="208"/>
      <c r="G966" s="208"/>
      <c r="H966" s="209"/>
      <c r="I966" s="210"/>
      <c r="J966" s="210"/>
      <c r="K966" s="260"/>
      <c r="L966" s="260"/>
      <c r="M966" s="260"/>
      <c r="N966" s="260"/>
      <c r="O966" s="260"/>
      <c r="P966" s="211"/>
      <c r="Q966" s="261"/>
      <c r="R966" s="208" t="str">
        <f ca="1">IF(ISERROR($V966),"",OFFSET('Smelter Look-up'!$C$4,$V966-4,0)&amp;"")</f>
        <v/>
      </c>
      <c r="S966" s="215" t="str">
        <f t="shared" ca="1" si="138"/>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si="139"/>
        <v>0</v>
      </c>
      <c r="Y966" s="263"/>
      <c r="Z966" s="263"/>
      <c r="AB966" s="265" t="str">
        <f t="shared" si="140"/>
        <v/>
      </c>
    </row>
    <row r="967" spans="1:28" s="264" customFormat="1" ht="20.399999999999999">
      <c r="A967" s="207"/>
      <c r="B967" s="208"/>
      <c r="C967" s="212"/>
      <c r="D967" s="270"/>
      <c r="E967" s="208"/>
      <c r="F967" s="208"/>
      <c r="G967" s="208"/>
      <c r="H967" s="209"/>
      <c r="I967" s="210"/>
      <c r="J967" s="210"/>
      <c r="K967" s="260"/>
      <c r="L967" s="260"/>
      <c r="M967" s="260"/>
      <c r="N967" s="260"/>
      <c r="O967" s="260"/>
      <c r="P967" s="211"/>
      <c r="Q967" s="261"/>
      <c r="R967" s="208" t="str">
        <f ca="1">IF(ISERROR($V967),"",OFFSET('Smelter Look-up'!$C$4,$V967-4,0)&amp;"")</f>
        <v/>
      </c>
      <c r="S967" s="215" t="str">
        <f t="shared" ca="1" si="138"/>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si="139"/>
        <v>0</v>
      </c>
      <c r="Y967" s="263"/>
      <c r="Z967" s="263"/>
      <c r="AB967" s="265" t="str">
        <f t="shared" si="140"/>
        <v/>
      </c>
    </row>
    <row r="968" spans="1:28" s="264" customFormat="1" ht="20.399999999999999">
      <c r="A968" s="207"/>
      <c r="B968" s="208"/>
      <c r="C968" s="212"/>
      <c r="D968" s="270"/>
      <c r="E968" s="208"/>
      <c r="F968" s="208"/>
      <c r="G968" s="208"/>
      <c r="H968" s="209"/>
      <c r="I968" s="210"/>
      <c r="J968" s="210"/>
      <c r="K968" s="260"/>
      <c r="L968" s="260"/>
      <c r="M968" s="260"/>
      <c r="N968" s="260"/>
      <c r="O968" s="260"/>
      <c r="P968" s="211"/>
      <c r="Q968" s="261"/>
      <c r="R968" s="208" t="str">
        <f ca="1">IF(ISERROR($V968),"",OFFSET('Smelter Look-up'!$C$4,$V968-4,0)&amp;"")</f>
        <v/>
      </c>
      <c r="S968" s="215" t="str">
        <f t="shared" ca="1" si="138"/>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si="139"/>
        <v>0</v>
      </c>
      <c r="Y968" s="263"/>
      <c r="Z968" s="263"/>
      <c r="AB968" s="265" t="str">
        <f t="shared" si="140"/>
        <v/>
      </c>
    </row>
    <row r="969" spans="1:28" s="264" customFormat="1" ht="20.399999999999999">
      <c r="A969" s="207"/>
      <c r="B969" s="208"/>
      <c r="C969" s="212"/>
      <c r="D969" s="270"/>
      <c r="E969" s="208"/>
      <c r="F969" s="208"/>
      <c r="G969" s="208"/>
      <c r="H969" s="209"/>
      <c r="I969" s="210"/>
      <c r="J969" s="210"/>
      <c r="K969" s="260"/>
      <c r="L969" s="260"/>
      <c r="M969" s="260"/>
      <c r="N969" s="260"/>
      <c r="O969" s="260"/>
      <c r="P969" s="211"/>
      <c r="Q969" s="261"/>
      <c r="R969" s="208" t="str">
        <f ca="1">IF(ISERROR($V969),"",OFFSET('Smelter Look-up'!$C$4,$V969-4,0)&amp;"")</f>
        <v/>
      </c>
      <c r="S969" s="215" t="str">
        <f t="shared" ca="1" si="138"/>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si="139"/>
        <v>0</v>
      </c>
      <c r="Y969" s="263"/>
      <c r="Z969" s="263"/>
      <c r="AB969" s="265" t="str">
        <f t="shared" si="140"/>
        <v/>
      </c>
    </row>
    <row r="970" spans="1:28" s="264" customFormat="1" ht="20.399999999999999">
      <c r="A970" s="207"/>
      <c r="B970" s="208"/>
      <c r="C970" s="212"/>
      <c r="D970" s="270"/>
      <c r="E970" s="208"/>
      <c r="F970" s="208"/>
      <c r="G970" s="208"/>
      <c r="H970" s="209"/>
      <c r="I970" s="210"/>
      <c r="J970" s="210"/>
      <c r="K970" s="260"/>
      <c r="L970" s="260"/>
      <c r="M970" s="260"/>
      <c r="N970" s="260"/>
      <c r="O970" s="260"/>
      <c r="P970" s="211"/>
      <c r="Q970" s="261"/>
      <c r="R970" s="208" t="str">
        <f ca="1">IF(ISERROR($V970),"",OFFSET('Smelter Look-up'!$C$4,$V970-4,0)&amp;"")</f>
        <v/>
      </c>
      <c r="S970" s="215" t="str">
        <f t="shared" ca="1" si="138"/>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si="139"/>
        <v>0</v>
      </c>
      <c r="Y970" s="263"/>
      <c r="Z970" s="263"/>
      <c r="AB970" s="265" t="str">
        <f t="shared" si="140"/>
        <v/>
      </c>
    </row>
    <row r="971" spans="1:28" s="264" customFormat="1" ht="20.399999999999999">
      <c r="A971" s="207"/>
      <c r="B971" s="208"/>
      <c r="C971" s="212"/>
      <c r="D971" s="270"/>
      <c r="E971" s="208"/>
      <c r="F971" s="208"/>
      <c r="G971" s="208"/>
      <c r="H971" s="209"/>
      <c r="I971" s="210"/>
      <c r="J971" s="210"/>
      <c r="K971" s="260"/>
      <c r="L971" s="260"/>
      <c r="M971" s="260"/>
      <c r="N971" s="260"/>
      <c r="O971" s="260"/>
      <c r="P971" s="211"/>
      <c r="Q971" s="261"/>
      <c r="R971" s="208" t="str">
        <f ca="1">IF(ISERROR($V971),"",OFFSET('Smelter Look-up'!$C$4,$V971-4,0)&amp;"")</f>
        <v/>
      </c>
      <c r="S971" s="215" t="str">
        <f t="shared" ca="1" si="138"/>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si="139"/>
        <v>0</v>
      </c>
      <c r="Y971" s="263"/>
      <c r="Z971" s="263"/>
      <c r="AB971" s="265" t="str">
        <f t="shared" si="140"/>
        <v/>
      </c>
    </row>
    <row r="972" spans="1:28" s="264" customFormat="1" ht="20.399999999999999">
      <c r="A972" s="207"/>
      <c r="B972" s="208"/>
      <c r="C972" s="212"/>
      <c r="D972" s="270"/>
      <c r="E972" s="208"/>
      <c r="F972" s="208"/>
      <c r="G972" s="208"/>
      <c r="H972" s="209"/>
      <c r="I972" s="210"/>
      <c r="J972" s="210"/>
      <c r="K972" s="260"/>
      <c r="L972" s="260"/>
      <c r="M972" s="260"/>
      <c r="N972" s="260"/>
      <c r="O972" s="260"/>
      <c r="P972" s="211"/>
      <c r="Q972" s="261"/>
      <c r="R972" s="208" t="str">
        <f ca="1">IF(ISERROR($V972),"",OFFSET('Smelter Look-up'!$C$4,$V972-4,0)&amp;"")</f>
        <v/>
      </c>
      <c r="S972" s="215" t="str">
        <f t="shared" ca="1" si="138"/>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si="139"/>
        <v>0</v>
      </c>
      <c r="Y972" s="263"/>
      <c r="Z972" s="263"/>
      <c r="AB972" s="265" t="str">
        <f t="shared" si="140"/>
        <v/>
      </c>
    </row>
    <row r="973" spans="1:28" s="264" customFormat="1" ht="20.399999999999999">
      <c r="A973" s="207"/>
      <c r="B973" s="208"/>
      <c r="C973" s="212"/>
      <c r="D973" s="270"/>
      <c r="E973" s="208"/>
      <c r="F973" s="208"/>
      <c r="G973" s="208"/>
      <c r="H973" s="209"/>
      <c r="I973" s="210"/>
      <c r="J973" s="210"/>
      <c r="K973" s="260"/>
      <c r="L973" s="260"/>
      <c r="M973" s="260"/>
      <c r="N973" s="260"/>
      <c r="O973" s="260"/>
      <c r="P973" s="211"/>
      <c r="Q973" s="261"/>
      <c r="R973" s="208" t="str">
        <f ca="1">IF(ISERROR($V973),"",OFFSET('Smelter Look-up'!$C$4,$V973-4,0)&amp;"")</f>
        <v/>
      </c>
      <c r="S973" s="215" t="str">
        <f t="shared" ca="1" si="138"/>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si="139"/>
        <v>0</v>
      </c>
      <c r="Y973" s="263"/>
      <c r="Z973" s="263"/>
      <c r="AB973" s="265" t="str">
        <f t="shared" si="140"/>
        <v/>
      </c>
    </row>
    <row r="974" spans="1:28" s="264" customFormat="1" ht="20.399999999999999">
      <c r="A974" s="207"/>
      <c r="B974" s="208"/>
      <c r="C974" s="212"/>
      <c r="D974" s="270"/>
      <c r="E974" s="208"/>
      <c r="F974" s="208"/>
      <c r="G974" s="208"/>
      <c r="H974" s="209"/>
      <c r="I974" s="210"/>
      <c r="J974" s="210"/>
      <c r="K974" s="260"/>
      <c r="L974" s="260"/>
      <c r="M974" s="260"/>
      <c r="N974" s="260"/>
      <c r="O974" s="260"/>
      <c r="P974" s="211"/>
      <c r="Q974" s="261"/>
      <c r="R974" s="208" t="str">
        <f ca="1">IF(ISERROR($V974),"",OFFSET('Smelter Look-up'!$C$4,$V974-4,0)&amp;"")</f>
        <v/>
      </c>
      <c r="S974" s="215" t="str">
        <f t="shared" ca="1" si="138"/>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si="139"/>
        <v>0</v>
      </c>
      <c r="Y974" s="263"/>
      <c r="Z974" s="263"/>
      <c r="AB974" s="265" t="str">
        <f t="shared" si="140"/>
        <v/>
      </c>
    </row>
    <row r="975" spans="1:28" s="264" customFormat="1" ht="20.399999999999999">
      <c r="A975" s="207"/>
      <c r="B975" s="208"/>
      <c r="C975" s="212"/>
      <c r="D975" s="270"/>
      <c r="E975" s="208"/>
      <c r="F975" s="208"/>
      <c r="G975" s="208"/>
      <c r="H975" s="209"/>
      <c r="I975" s="210"/>
      <c r="J975" s="210"/>
      <c r="K975" s="260"/>
      <c r="L975" s="260"/>
      <c r="M975" s="260"/>
      <c r="N975" s="260"/>
      <c r="O975" s="260"/>
      <c r="P975" s="211"/>
      <c r="Q975" s="261"/>
      <c r="R975" s="208" t="str">
        <f ca="1">IF(ISERROR($V975),"",OFFSET('Smelter Look-up'!$C$4,$V975-4,0)&amp;"")</f>
        <v/>
      </c>
      <c r="S975" s="215" t="str">
        <f t="shared" ca="1" si="138"/>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si="139"/>
        <v>0</v>
      </c>
      <c r="Y975" s="263"/>
      <c r="Z975" s="263"/>
      <c r="AB975" s="265" t="str">
        <f t="shared" si="140"/>
        <v/>
      </c>
    </row>
    <row r="976" spans="1:28" s="264" customFormat="1" ht="20.399999999999999">
      <c r="A976" s="207"/>
      <c r="B976" s="208"/>
      <c r="C976" s="212"/>
      <c r="D976" s="270"/>
      <c r="E976" s="208"/>
      <c r="F976" s="208"/>
      <c r="G976" s="208"/>
      <c r="H976" s="209"/>
      <c r="I976" s="210"/>
      <c r="J976" s="210"/>
      <c r="K976" s="260"/>
      <c r="L976" s="260"/>
      <c r="M976" s="260"/>
      <c r="N976" s="260"/>
      <c r="O976" s="260"/>
      <c r="P976" s="211"/>
      <c r="Q976" s="261"/>
      <c r="R976" s="208" t="str">
        <f ca="1">IF(ISERROR($V976),"",OFFSET('Smelter Look-up'!$C$4,$V976-4,0)&amp;"")</f>
        <v/>
      </c>
      <c r="S976" s="215" t="str">
        <f t="shared" ca="1" si="138"/>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si="139"/>
        <v>0</v>
      </c>
      <c r="Y976" s="263"/>
      <c r="Z976" s="263"/>
      <c r="AB976" s="265" t="str">
        <f t="shared" si="140"/>
        <v/>
      </c>
    </row>
    <row r="977" spans="1:28" s="264" customFormat="1" ht="20.399999999999999">
      <c r="A977" s="207"/>
      <c r="B977" s="208"/>
      <c r="C977" s="212"/>
      <c r="D977" s="270"/>
      <c r="E977" s="208"/>
      <c r="F977" s="208"/>
      <c r="G977" s="208"/>
      <c r="H977" s="209"/>
      <c r="I977" s="210"/>
      <c r="J977" s="210"/>
      <c r="K977" s="260"/>
      <c r="L977" s="260"/>
      <c r="M977" s="260"/>
      <c r="N977" s="260"/>
      <c r="O977" s="260"/>
      <c r="P977" s="211"/>
      <c r="Q977" s="261"/>
      <c r="R977" s="208" t="str">
        <f ca="1">IF(ISERROR($V977),"",OFFSET('Smelter Look-up'!$C$4,$V977-4,0)&amp;"")</f>
        <v/>
      </c>
      <c r="S977" s="215" t="str">
        <f t="shared" ca="1" si="138"/>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si="139"/>
        <v>0</v>
      </c>
      <c r="Y977" s="263"/>
      <c r="Z977" s="263"/>
      <c r="AB977" s="265" t="str">
        <f t="shared" si="140"/>
        <v/>
      </c>
    </row>
    <row r="978" spans="1:28" s="264" customFormat="1" ht="20.399999999999999">
      <c r="A978" s="207"/>
      <c r="B978" s="208"/>
      <c r="C978" s="212"/>
      <c r="D978" s="270"/>
      <c r="E978" s="208"/>
      <c r="F978" s="208"/>
      <c r="G978" s="208"/>
      <c r="H978" s="209"/>
      <c r="I978" s="210"/>
      <c r="J978" s="210"/>
      <c r="K978" s="260"/>
      <c r="L978" s="260"/>
      <c r="M978" s="260"/>
      <c r="N978" s="260"/>
      <c r="O978" s="260"/>
      <c r="P978" s="211"/>
      <c r="Q978" s="261"/>
      <c r="R978" s="208" t="str">
        <f ca="1">IF(ISERROR($V978),"",OFFSET('Smelter Look-up'!$C$4,$V978-4,0)&amp;"")</f>
        <v/>
      </c>
      <c r="S978" s="215" t="str">
        <f t="shared" ca="1" si="138"/>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si="139"/>
        <v>0</v>
      </c>
      <c r="Y978" s="263"/>
      <c r="Z978" s="263"/>
      <c r="AB978" s="265" t="str">
        <f t="shared" si="140"/>
        <v/>
      </c>
    </row>
    <row r="979" spans="1:28" s="264" customFormat="1" ht="20.399999999999999">
      <c r="A979" s="207"/>
      <c r="B979" s="208"/>
      <c r="C979" s="212"/>
      <c r="D979" s="270"/>
      <c r="E979" s="208"/>
      <c r="F979" s="208"/>
      <c r="G979" s="208"/>
      <c r="H979" s="209"/>
      <c r="I979" s="210"/>
      <c r="J979" s="210"/>
      <c r="K979" s="260"/>
      <c r="L979" s="260"/>
      <c r="M979" s="260"/>
      <c r="N979" s="260"/>
      <c r="O979" s="260"/>
      <c r="P979" s="211"/>
      <c r="Q979" s="261"/>
      <c r="R979" s="208" t="str">
        <f ca="1">IF(ISERROR($V979),"",OFFSET('Smelter Look-up'!$C$4,$V979-4,0)&amp;"")</f>
        <v/>
      </c>
      <c r="S979" s="215" t="str">
        <f t="shared" ca="1" si="138"/>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si="139"/>
        <v>0</v>
      </c>
      <c r="Y979" s="263"/>
      <c r="Z979" s="263"/>
      <c r="AB979" s="265" t="str">
        <f t="shared" si="140"/>
        <v/>
      </c>
    </row>
    <row r="980" spans="1:28" s="264" customFormat="1" ht="20.399999999999999">
      <c r="A980" s="207"/>
      <c r="B980" s="208"/>
      <c r="C980" s="212"/>
      <c r="D980" s="270"/>
      <c r="E980" s="208"/>
      <c r="F980" s="208"/>
      <c r="G980" s="208"/>
      <c r="H980" s="209"/>
      <c r="I980" s="210"/>
      <c r="J980" s="210"/>
      <c r="K980" s="260"/>
      <c r="L980" s="260"/>
      <c r="M980" s="260"/>
      <c r="N980" s="260"/>
      <c r="O980" s="260"/>
      <c r="P980" s="211"/>
      <c r="Q980" s="261"/>
      <c r="R980" s="208" t="str">
        <f ca="1">IF(ISERROR($V980),"",OFFSET('Smelter Look-up'!$C$4,$V980-4,0)&amp;"")</f>
        <v/>
      </c>
      <c r="S980" s="215" t="str">
        <f t="shared" ca="1" si="138"/>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si="139"/>
        <v>0</v>
      </c>
      <c r="Y980" s="263"/>
      <c r="Z980" s="263"/>
      <c r="AB980" s="265" t="str">
        <f t="shared" si="140"/>
        <v/>
      </c>
    </row>
    <row r="981" spans="1:28" s="264" customFormat="1" ht="20.399999999999999">
      <c r="A981" s="207"/>
      <c r="B981" s="208"/>
      <c r="C981" s="212"/>
      <c r="D981" s="270"/>
      <c r="E981" s="208"/>
      <c r="F981" s="208"/>
      <c r="G981" s="208"/>
      <c r="H981" s="209"/>
      <c r="I981" s="210"/>
      <c r="J981" s="210"/>
      <c r="K981" s="260"/>
      <c r="L981" s="260"/>
      <c r="M981" s="260"/>
      <c r="N981" s="260"/>
      <c r="O981" s="260"/>
      <c r="P981" s="211"/>
      <c r="Q981" s="261"/>
      <c r="R981" s="208" t="str">
        <f ca="1">IF(ISERROR($V981),"",OFFSET('Smelter Look-up'!$C$4,$V981-4,0)&amp;"")</f>
        <v/>
      </c>
      <c r="S981" s="215" t="str">
        <f t="shared" ca="1" si="138"/>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si="139"/>
        <v>0</v>
      </c>
      <c r="Y981" s="263"/>
      <c r="Z981" s="263"/>
      <c r="AB981" s="265" t="str">
        <f t="shared" si="140"/>
        <v/>
      </c>
    </row>
    <row r="982" spans="1:28" s="264" customFormat="1" ht="20.399999999999999">
      <c r="A982" s="207"/>
      <c r="B982" s="208"/>
      <c r="C982" s="212"/>
      <c r="D982" s="270"/>
      <c r="E982" s="208"/>
      <c r="F982" s="208"/>
      <c r="G982" s="208"/>
      <c r="H982" s="209"/>
      <c r="I982" s="210"/>
      <c r="J982" s="210"/>
      <c r="K982" s="260"/>
      <c r="L982" s="260"/>
      <c r="M982" s="260"/>
      <c r="N982" s="260"/>
      <c r="O982" s="260"/>
      <c r="P982" s="211"/>
      <c r="Q982" s="261"/>
      <c r="R982" s="208" t="str">
        <f ca="1">IF(ISERROR($V982),"",OFFSET('Smelter Look-up'!$C$4,$V982-4,0)&amp;"")</f>
        <v/>
      </c>
      <c r="S982" s="215" t="str">
        <f t="shared" ca="1" si="138"/>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si="139"/>
        <v>0</v>
      </c>
      <c r="Y982" s="263"/>
      <c r="Z982" s="263"/>
      <c r="AB982" s="265" t="str">
        <f t="shared" si="140"/>
        <v/>
      </c>
    </row>
    <row r="983" spans="1:28" s="264" customFormat="1" ht="20.399999999999999">
      <c r="A983" s="207"/>
      <c r="B983" s="208"/>
      <c r="C983" s="212"/>
      <c r="D983" s="270"/>
      <c r="E983" s="208"/>
      <c r="F983" s="208"/>
      <c r="G983" s="208"/>
      <c r="H983" s="209"/>
      <c r="I983" s="210"/>
      <c r="J983" s="210"/>
      <c r="K983" s="260"/>
      <c r="L983" s="260"/>
      <c r="M983" s="260"/>
      <c r="N983" s="260"/>
      <c r="O983" s="260"/>
      <c r="P983" s="211"/>
      <c r="Q983" s="261"/>
      <c r="R983" s="208" t="str">
        <f ca="1">IF(ISERROR($V983),"",OFFSET('Smelter Look-up'!$C$4,$V983-4,0)&amp;"")</f>
        <v/>
      </c>
      <c r="S983" s="215" t="str">
        <f t="shared" ca="1" si="138"/>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si="139"/>
        <v>0</v>
      </c>
      <c r="Y983" s="263"/>
      <c r="Z983" s="263"/>
      <c r="AB983" s="265" t="str">
        <f t="shared" si="140"/>
        <v/>
      </c>
    </row>
    <row r="984" spans="1:28" s="264" customFormat="1" ht="20.399999999999999">
      <c r="A984" s="207"/>
      <c r="B984" s="208"/>
      <c r="C984" s="212"/>
      <c r="D984" s="270"/>
      <c r="E984" s="208"/>
      <c r="F984" s="208"/>
      <c r="G984" s="208"/>
      <c r="H984" s="209"/>
      <c r="I984" s="210"/>
      <c r="J984" s="210"/>
      <c r="K984" s="260"/>
      <c r="L984" s="260"/>
      <c r="M984" s="260"/>
      <c r="N984" s="260"/>
      <c r="O984" s="260"/>
      <c r="P984" s="211"/>
      <c r="Q984" s="261"/>
      <c r="R984" s="208" t="str">
        <f ca="1">IF(ISERROR($V984),"",OFFSET('Smelter Look-up'!$C$4,$V984-4,0)&amp;"")</f>
        <v/>
      </c>
      <c r="S984" s="215" t="str">
        <f t="shared" ca="1" si="138"/>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si="139"/>
        <v>0</v>
      </c>
      <c r="Y984" s="263"/>
      <c r="Z984" s="263"/>
      <c r="AB984" s="265" t="str">
        <f t="shared" si="140"/>
        <v/>
      </c>
    </row>
    <row r="985" spans="1:28" s="264" customFormat="1" ht="20.399999999999999">
      <c r="A985" s="207"/>
      <c r="B985" s="208"/>
      <c r="C985" s="212"/>
      <c r="D985" s="270"/>
      <c r="E985" s="208"/>
      <c r="F985" s="208"/>
      <c r="G985" s="208"/>
      <c r="H985" s="209"/>
      <c r="I985" s="210"/>
      <c r="J985" s="210"/>
      <c r="K985" s="260"/>
      <c r="L985" s="260"/>
      <c r="M985" s="260"/>
      <c r="N985" s="260"/>
      <c r="O985" s="260"/>
      <c r="P985" s="211"/>
      <c r="Q985" s="261"/>
      <c r="R985" s="208" t="str">
        <f ca="1">IF(ISERROR($V985),"",OFFSET('Smelter Look-up'!$C$4,$V985-4,0)&amp;"")</f>
        <v/>
      </c>
      <c r="S985" s="215" t="str">
        <f t="shared" ca="1" si="138"/>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si="139"/>
        <v>0</v>
      </c>
      <c r="Y985" s="263"/>
      <c r="Z985" s="263"/>
      <c r="AB985" s="265" t="str">
        <f t="shared" si="140"/>
        <v/>
      </c>
    </row>
    <row r="986" spans="1:28" s="264" customFormat="1" ht="20.399999999999999">
      <c r="A986" s="207"/>
      <c r="B986" s="208"/>
      <c r="C986" s="212"/>
      <c r="D986" s="270"/>
      <c r="E986" s="208"/>
      <c r="F986" s="208"/>
      <c r="G986" s="208"/>
      <c r="H986" s="209"/>
      <c r="I986" s="210"/>
      <c r="J986" s="210"/>
      <c r="K986" s="260"/>
      <c r="L986" s="260"/>
      <c r="M986" s="260"/>
      <c r="N986" s="260"/>
      <c r="O986" s="260"/>
      <c r="P986" s="211"/>
      <c r="Q986" s="261"/>
      <c r="R986" s="208" t="str">
        <f ca="1">IF(ISERROR($V986),"",OFFSET('Smelter Look-up'!$C$4,$V986-4,0)&amp;"")</f>
        <v/>
      </c>
      <c r="S986" s="215" t="str">
        <f t="shared" ca="1" si="138"/>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si="139"/>
        <v>0</v>
      </c>
      <c r="Y986" s="263"/>
      <c r="Z986" s="263"/>
      <c r="AB986" s="265" t="str">
        <f t="shared" si="140"/>
        <v/>
      </c>
    </row>
    <row r="987" spans="1:28" s="264" customFormat="1" ht="20.399999999999999">
      <c r="A987" s="207"/>
      <c r="B987" s="208"/>
      <c r="C987" s="212"/>
      <c r="D987" s="270"/>
      <c r="E987" s="208"/>
      <c r="F987" s="208"/>
      <c r="G987" s="208"/>
      <c r="H987" s="209"/>
      <c r="I987" s="210"/>
      <c r="J987" s="210"/>
      <c r="K987" s="260"/>
      <c r="L987" s="260"/>
      <c r="M987" s="260"/>
      <c r="N987" s="260"/>
      <c r="O987" s="260"/>
      <c r="P987" s="211"/>
      <c r="Q987" s="261"/>
      <c r="R987" s="208" t="str">
        <f ca="1">IF(ISERROR($V987),"",OFFSET('Smelter Look-up'!$C$4,$V987-4,0)&amp;"")</f>
        <v/>
      </c>
      <c r="S987" s="215" t="str">
        <f t="shared" ca="1" si="138"/>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si="139"/>
        <v>0</v>
      </c>
      <c r="Y987" s="263"/>
      <c r="Z987" s="263"/>
      <c r="AB987" s="265" t="str">
        <f t="shared" si="140"/>
        <v/>
      </c>
    </row>
    <row r="988" spans="1:28" s="264" customFormat="1" ht="20.399999999999999">
      <c r="A988" s="207"/>
      <c r="B988" s="208"/>
      <c r="C988" s="212"/>
      <c r="D988" s="270"/>
      <c r="E988" s="208"/>
      <c r="F988" s="208"/>
      <c r="G988" s="208"/>
      <c r="H988" s="209"/>
      <c r="I988" s="210"/>
      <c r="J988" s="210"/>
      <c r="K988" s="260"/>
      <c r="L988" s="260"/>
      <c r="M988" s="260"/>
      <c r="N988" s="260"/>
      <c r="O988" s="260"/>
      <c r="P988" s="211"/>
      <c r="Q988" s="261"/>
      <c r="R988" s="208" t="str">
        <f ca="1">IF(ISERROR($V988),"",OFFSET('Smelter Look-up'!$C$4,$V988-4,0)&amp;"")</f>
        <v/>
      </c>
      <c r="S988" s="215" t="str">
        <f t="shared" ref="S988:S1018" ca="1" si="141">IF(B988="","",IF(ISERROR(MATCH($E988,CL,0)),"Unknown",INDIRECT("'C'!$A$"&amp;MATCH($E988,CL,0)+1)))</f>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ref="X988:X1018" si="142">IF(AND(C988="Smelter not listed",OR(LEN(D988)=0,LEN(E988)=0)),1,0)</f>
        <v>0</v>
      </c>
      <c r="Y988" s="263"/>
      <c r="Z988" s="263"/>
      <c r="AB988" s="265" t="str">
        <f t="shared" ref="AB988:AB1018" si="143">B988&amp;C988</f>
        <v/>
      </c>
    </row>
    <row r="989" spans="1:28" s="264" customFormat="1" ht="20.399999999999999">
      <c r="A989" s="207"/>
      <c r="B989" s="208"/>
      <c r="C989" s="212"/>
      <c r="D989" s="270"/>
      <c r="E989" s="208"/>
      <c r="F989" s="208"/>
      <c r="G989" s="208"/>
      <c r="H989" s="209"/>
      <c r="I989" s="210"/>
      <c r="J989" s="210"/>
      <c r="K989" s="260"/>
      <c r="L989" s="260"/>
      <c r="M989" s="260"/>
      <c r="N989" s="260"/>
      <c r="O989" s="260"/>
      <c r="P989" s="211"/>
      <c r="Q989" s="261"/>
      <c r="R989" s="208" t="str">
        <f ca="1">IF(ISERROR($V989),"",OFFSET('Smelter Look-up'!$C$4,$V989-4,0)&amp;"")</f>
        <v/>
      </c>
      <c r="S989" s="215" t="str">
        <f t="shared" ca="1" si="141"/>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si="142"/>
        <v>0</v>
      </c>
      <c r="Y989" s="263"/>
      <c r="Z989" s="263"/>
      <c r="AB989" s="265" t="str">
        <f t="shared" si="143"/>
        <v/>
      </c>
    </row>
    <row r="990" spans="1:28" s="264" customFormat="1" ht="20.399999999999999">
      <c r="A990" s="207"/>
      <c r="B990" s="208"/>
      <c r="C990" s="212"/>
      <c r="D990" s="270"/>
      <c r="E990" s="208"/>
      <c r="F990" s="208"/>
      <c r="G990" s="208"/>
      <c r="H990" s="209"/>
      <c r="I990" s="210"/>
      <c r="J990" s="210"/>
      <c r="K990" s="260"/>
      <c r="L990" s="260"/>
      <c r="M990" s="260"/>
      <c r="N990" s="260"/>
      <c r="O990" s="260"/>
      <c r="P990" s="211"/>
      <c r="Q990" s="261"/>
      <c r="R990" s="208" t="str">
        <f ca="1">IF(ISERROR($V990),"",OFFSET('Smelter Look-up'!$C$4,$V990-4,0)&amp;"")</f>
        <v/>
      </c>
      <c r="S990" s="215" t="str">
        <f t="shared" ca="1" si="141"/>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si="142"/>
        <v>0</v>
      </c>
      <c r="Y990" s="263"/>
      <c r="Z990" s="263"/>
      <c r="AB990" s="265" t="str">
        <f t="shared" si="143"/>
        <v/>
      </c>
    </row>
    <row r="991" spans="1:28" s="264" customFormat="1" ht="20.399999999999999">
      <c r="A991" s="207"/>
      <c r="B991" s="208"/>
      <c r="C991" s="212"/>
      <c r="D991" s="270"/>
      <c r="E991" s="208"/>
      <c r="F991" s="208"/>
      <c r="G991" s="208"/>
      <c r="H991" s="209"/>
      <c r="I991" s="210"/>
      <c r="J991" s="210"/>
      <c r="K991" s="260"/>
      <c r="L991" s="260"/>
      <c r="M991" s="260"/>
      <c r="N991" s="260"/>
      <c r="O991" s="260"/>
      <c r="P991" s="211"/>
      <c r="Q991" s="261"/>
      <c r="R991" s="208" t="str">
        <f ca="1">IF(ISERROR($V991),"",OFFSET('Smelter Look-up'!$C$4,$V991-4,0)&amp;"")</f>
        <v/>
      </c>
      <c r="S991" s="215" t="str">
        <f t="shared" ca="1" si="141"/>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si="142"/>
        <v>0</v>
      </c>
      <c r="Y991" s="263"/>
      <c r="Z991" s="263"/>
      <c r="AB991" s="265" t="str">
        <f t="shared" si="143"/>
        <v/>
      </c>
    </row>
    <row r="992" spans="1:28" s="264" customFormat="1" ht="20.399999999999999">
      <c r="A992" s="207"/>
      <c r="B992" s="208"/>
      <c r="C992" s="212"/>
      <c r="D992" s="270"/>
      <c r="E992" s="208"/>
      <c r="F992" s="208"/>
      <c r="G992" s="208"/>
      <c r="H992" s="209"/>
      <c r="I992" s="210"/>
      <c r="J992" s="210"/>
      <c r="K992" s="260"/>
      <c r="L992" s="260"/>
      <c r="M992" s="260"/>
      <c r="N992" s="260"/>
      <c r="O992" s="260"/>
      <c r="P992" s="211"/>
      <c r="Q992" s="261"/>
      <c r="R992" s="208" t="str">
        <f ca="1">IF(ISERROR($V992),"",OFFSET('Smelter Look-up'!$C$4,$V992-4,0)&amp;"")</f>
        <v/>
      </c>
      <c r="S992" s="215" t="str">
        <f t="shared" ca="1" si="141"/>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si="142"/>
        <v>0</v>
      </c>
      <c r="Y992" s="263"/>
      <c r="Z992" s="263"/>
      <c r="AB992" s="265" t="str">
        <f t="shared" si="143"/>
        <v/>
      </c>
    </row>
    <row r="993" spans="1:28" s="264" customFormat="1" ht="20.399999999999999">
      <c r="A993" s="207"/>
      <c r="B993" s="208"/>
      <c r="C993" s="212"/>
      <c r="D993" s="270"/>
      <c r="E993" s="208"/>
      <c r="F993" s="208"/>
      <c r="G993" s="208"/>
      <c r="H993" s="209"/>
      <c r="I993" s="210"/>
      <c r="J993" s="210"/>
      <c r="K993" s="260"/>
      <c r="L993" s="260"/>
      <c r="M993" s="260"/>
      <c r="N993" s="260"/>
      <c r="O993" s="260"/>
      <c r="P993" s="211"/>
      <c r="Q993" s="261"/>
      <c r="R993" s="208" t="str">
        <f ca="1">IF(ISERROR($V993),"",OFFSET('Smelter Look-up'!$C$4,$V993-4,0)&amp;"")</f>
        <v/>
      </c>
      <c r="S993" s="215" t="str">
        <f t="shared" ca="1" si="141"/>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si="142"/>
        <v>0</v>
      </c>
      <c r="Y993" s="263"/>
      <c r="Z993" s="263"/>
      <c r="AB993" s="265" t="str">
        <f t="shared" si="143"/>
        <v/>
      </c>
    </row>
    <row r="994" spans="1:28" s="264" customFormat="1" ht="20.399999999999999">
      <c r="A994" s="207"/>
      <c r="B994" s="208"/>
      <c r="C994" s="212"/>
      <c r="D994" s="270"/>
      <c r="E994" s="208"/>
      <c r="F994" s="208"/>
      <c r="G994" s="208"/>
      <c r="H994" s="209"/>
      <c r="I994" s="210"/>
      <c r="J994" s="210"/>
      <c r="K994" s="260"/>
      <c r="L994" s="260"/>
      <c r="M994" s="260"/>
      <c r="N994" s="260"/>
      <c r="O994" s="260"/>
      <c r="P994" s="211"/>
      <c r="Q994" s="261"/>
      <c r="R994" s="208" t="str">
        <f ca="1">IF(ISERROR($V994),"",OFFSET('Smelter Look-up'!$C$4,$V994-4,0)&amp;"")</f>
        <v/>
      </c>
      <c r="S994" s="215" t="str">
        <f t="shared" ca="1" si="141"/>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si="142"/>
        <v>0</v>
      </c>
      <c r="Y994" s="263"/>
      <c r="Z994" s="263"/>
      <c r="AB994" s="265" t="str">
        <f t="shared" si="143"/>
        <v/>
      </c>
    </row>
    <row r="995" spans="1:28" s="264" customFormat="1" ht="20.399999999999999">
      <c r="A995" s="207"/>
      <c r="B995" s="208"/>
      <c r="C995" s="212"/>
      <c r="D995" s="270"/>
      <c r="E995" s="208"/>
      <c r="F995" s="208"/>
      <c r="G995" s="208"/>
      <c r="H995" s="209"/>
      <c r="I995" s="210"/>
      <c r="J995" s="210"/>
      <c r="K995" s="260"/>
      <c r="L995" s="260"/>
      <c r="M995" s="260"/>
      <c r="N995" s="260"/>
      <c r="O995" s="260"/>
      <c r="P995" s="211"/>
      <c r="Q995" s="261"/>
      <c r="R995" s="208" t="str">
        <f ca="1">IF(ISERROR($V995),"",OFFSET('Smelter Look-up'!$C$4,$V995-4,0)&amp;"")</f>
        <v/>
      </c>
      <c r="S995" s="215" t="str">
        <f t="shared" ca="1" si="141"/>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si="142"/>
        <v>0</v>
      </c>
      <c r="Y995" s="263"/>
      <c r="Z995" s="263"/>
      <c r="AB995" s="265" t="str">
        <f t="shared" si="143"/>
        <v/>
      </c>
    </row>
    <row r="996" spans="1:28" s="264" customFormat="1" ht="20.399999999999999">
      <c r="A996" s="207"/>
      <c r="B996" s="208"/>
      <c r="C996" s="212"/>
      <c r="D996" s="270"/>
      <c r="E996" s="208"/>
      <c r="F996" s="208"/>
      <c r="G996" s="208"/>
      <c r="H996" s="209"/>
      <c r="I996" s="210"/>
      <c r="J996" s="210"/>
      <c r="K996" s="260"/>
      <c r="L996" s="260"/>
      <c r="M996" s="260"/>
      <c r="N996" s="260"/>
      <c r="O996" s="260"/>
      <c r="P996" s="211"/>
      <c r="Q996" s="261"/>
      <c r="R996" s="208" t="str">
        <f ca="1">IF(ISERROR($V996),"",OFFSET('Smelter Look-up'!$C$4,$V996-4,0)&amp;"")</f>
        <v/>
      </c>
      <c r="S996" s="215" t="str">
        <f t="shared" ca="1" si="141"/>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si="142"/>
        <v>0</v>
      </c>
      <c r="Y996" s="263"/>
      <c r="Z996" s="263"/>
      <c r="AB996" s="265" t="str">
        <f t="shared" si="143"/>
        <v/>
      </c>
    </row>
    <row r="997" spans="1:28" s="264" customFormat="1" ht="20.399999999999999">
      <c r="A997" s="207"/>
      <c r="B997" s="208"/>
      <c r="C997" s="212"/>
      <c r="D997" s="270"/>
      <c r="E997" s="208"/>
      <c r="F997" s="208"/>
      <c r="G997" s="208"/>
      <c r="H997" s="209"/>
      <c r="I997" s="210"/>
      <c r="J997" s="210"/>
      <c r="K997" s="260"/>
      <c r="L997" s="260"/>
      <c r="M997" s="260"/>
      <c r="N997" s="260"/>
      <c r="O997" s="260"/>
      <c r="P997" s="211"/>
      <c r="Q997" s="261"/>
      <c r="R997" s="208" t="str">
        <f ca="1">IF(ISERROR($V997),"",OFFSET('Smelter Look-up'!$C$4,$V997-4,0)&amp;"")</f>
        <v/>
      </c>
      <c r="S997" s="215" t="str">
        <f t="shared" ca="1" si="141"/>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si="142"/>
        <v>0</v>
      </c>
      <c r="Y997" s="263"/>
      <c r="Z997" s="263"/>
      <c r="AB997" s="265" t="str">
        <f t="shared" si="143"/>
        <v/>
      </c>
    </row>
    <row r="998" spans="1:28" s="264" customFormat="1" ht="20.399999999999999">
      <c r="A998" s="207"/>
      <c r="B998" s="208"/>
      <c r="C998" s="212"/>
      <c r="D998" s="270"/>
      <c r="E998" s="208"/>
      <c r="F998" s="208"/>
      <c r="G998" s="208"/>
      <c r="H998" s="209"/>
      <c r="I998" s="210"/>
      <c r="J998" s="210"/>
      <c r="K998" s="260"/>
      <c r="L998" s="260"/>
      <c r="M998" s="260"/>
      <c r="N998" s="260"/>
      <c r="O998" s="260"/>
      <c r="P998" s="211"/>
      <c r="Q998" s="261"/>
      <c r="R998" s="208" t="str">
        <f ca="1">IF(ISERROR($V998),"",OFFSET('Smelter Look-up'!$C$4,$V998-4,0)&amp;"")</f>
        <v/>
      </c>
      <c r="S998" s="215" t="str">
        <f t="shared" ca="1" si="141"/>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si="142"/>
        <v>0</v>
      </c>
      <c r="Y998" s="263"/>
      <c r="Z998" s="263"/>
      <c r="AB998" s="265" t="str">
        <f t="shared" si="143"/>
        <v/>
      </c>
    </row>
    <row r="999" spans="1:28" s="264" customFormat="1" ht="20.399999999999999">
      <c r="A999" s="207"/>
      <c r="B999" s="208"/>
      <c r="C999" s="212"/>
      <c r="D999" s="270"/>
      <c r="E999" s="208"/>
      <c r="F999" s="208"/>
      <c r="G999" s="208"/>
      <c r="H999" s="209"/>
      <c r="I999" s="210"/>
      <c r="J999" s="210"/>
      <c r="K999" s="260"/>
      <c r="L999" s="260"/>
      <c r="M999" s="260"/>
      <c r="N999" s="260"/>
      <c r="O999" s="260"/>
      <c r="P999" s="211"/>
      <c r="Q999" s="261"/>
      <c r="R999" s="208" t="str">
        <f ca="1">IF(ISERROR($V999),"",OFFSET('Smelter Look-up'!$C$4,$V999-4,0)&amp;"")</f>
        <v/>
      </c>
      <c r="S999" s="215" t="str">
        <f t="shared" ca="1" si="141"/>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si="142"/>
        <v>0</v>
      </c>
      <c r="Y999" s="263"/>
      <c r="Z999" s="263"/>
      <c r="AB999" s="265" t="str">
        <f t="shared" si="143"/>
        <v/>
      </c>
    </row>
    <row r="1000" spans="1:28" s="264" customFormat="1" ht="20.399999999999999">
      <c r="A1000" s="207"/>
      <c r="B1000" s="208"/>
      <c r="C1000" s="212"/>
      <c r="D1000" s="270"/>
      <c r="E1000" s="208"/>
      <c r="F1000" s="208"/>
      <c r="G1000" s="208"/>
      <c r="H1000" s="209"/>
      <c r="I1000" s="210"/>
      <c r="J1000" s="210"/>
      <c r="K1000" s="260"/>
      <c r="L1000" s="260"/>
      <c r="M1000" s="260"/>
      <c r="N1000" s="260"/>
      <c r="O1000" s="260"/>
      <c r="P1000" s="211"/>
      <c r="Q1000" s="261"/>
      <c r="R1000" s="208" t="str">
        <f ca="1">IF(ISERROR($V1000),"",OFFSET('Smelter Look-up'!$C$4,$V1000-4,0)&amp;"")</f>
        <v/>
      </c>
      <c r="S1000" s="215" t="str">
        <f t="shared" ca="1" si="141"/>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si="142"/>
        <v>0</v>
      </c>
      <c r="Y1000" s="263"/>
      <c r="Z1000" s="263"/>
      <c r="AB1000" s="265" t="str">
        <f t="shared" si="143"/>
        <v/>
      </c>
    </row>
    <row r="1001" spans="1:28" s="264" customFormat="1" ht="20.399999999999999">
      <c r="A1001" s="207"/>
      <c r="B1001" s="208"/>
      <c r="C1001" s="212"/>
      <c r="D1001" s="270"/>
      <c r="E1001" s="208"/>
      <c r="F1001" s="208"/>
      <c r="G1001" s="208"/>
      <c r="H1001" s="209"/>
      <c r="I1001" s="210"/>
      <c r="J1001" s="210"/>
      <c r="K1001" s="260"/>
      <c r="L1001" s="260"/>
      <c r="M1001" s="260"/>
      <c r="N1001" s="260"/>
      <c r="O1001" s="260"/>
      <c r="P1001" s="211"/>
      <c r="Q1001" s="261"/>
      <c r="R1001" s="208" t="str">
        <f ca="1">IF(ISERROR($V1001),"",OFFSET('Smelter Look-up'!$C$4,$V1001-4,0)&amp;"")</f>
        <v/>
      </c>
      <c r="S1001" s="215" t="str">
        <f t="shared" ca="1" si="141"/>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si="142"/>
        <v>0</v>
      </c>
      <c r="Y1001" s="263"/>
      <c r="Z1001" s="263"/>
      <c r="AB1001" s="265" t="str">
        <f t="shared" si="143"/>
        <v/>
      </c>
    </row>
    <row r="1002" spans="1:28" s="264" customFormat="1" ht="20.399999999999999">
      <c r="A1002" s="207"/>
      <c r="B1002" s="208"/>
      <c r="C1002" s="212"/>
      <c r="D1002" s="270"/>
      <c r="E1002" s="208"/>
      <c r="F1002" s="208"/>
      <c r="G1002" s="208"/>
      <c r="H1002" s="209"/>
      <c r="I1002" s="210"/>
      <c r="J1002" s="210"/>
      <c r="K1002" s="260"/>
      <c r="L1002" s="260"/>
      <c r="M1002" s="260"/>
      <c r="N1002" s="260"/>
      <c r="O1002" s="260"/>
      <c r="P1002" s="211"/>
      <c r="Q1002" s="261"/>
      <c r="R1002" s="208" t="str">
        <f ca="1">IF(ISERROR($V1002),"",OFFSET('Smelter Look-up'!$C$4,$V1002-4,0)&amp;"")</f>
        <v/>
      </c>
      <c r="S1002" s="215" t="str">
        <f t="shared" ca="1" si="141"/>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si="142"/>
        <v>0</v>
      </c>
      <c r="Y1002" s="263"/>
      <c r="Z1002" s="263"/>
      <c r="AB1002" s="265" t="str">
        <f t="shared" si="143"/>
        <v/>
      </c>
    </row>
    <row r="1003" spans="1:28" s="264" customFormat="1" ht="20.399999999999999">
      <c r="A1003" s="207"/>
      <c r="B1003" s="208"/>
      <c r="C1003" s="212"/>
      <c r="D1003" s="270"/>
      <c r="E1003" s="208"/>
      <c r="F1003" s="208"/>
      <c r="G1003" s="208"/>
      <c r="H1003" s="209"/>
      <c r="I1003" s="210"/>
      <c r="J1003" s="210"/>
      <c r="K1003" s="260"/>
      <c r="L1003" s="260"/>
      <c r="M1003" s="260"/>
      <c r="N1003" s="260"/>
      <c r="O1003" s="260"/>
      <c r="P1003" s="211"/>
      <c r="Q1003" s="261"/>
      <c r="R1003" s="208" t="str">
        <f ca="1">IF(ISERROR($V1003),"",OFFSET('Smelter Look-up'!$C$4,$V1003-4,0)&amp;"")</f>
        <v/>
      </c>
      <c r="S1003" s="215" t="str">
        <f t="shared" ca="1" si="141"/>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si="142"/>
        <v>0</v>
      </c>
      <c r="Y1003" s="263"/>
      <c r="Z1003" s="263"/>
      <c r="AB1003" s="265" t="str">
        <f t="shared" si="143"/>
        <v/>
      </c>
    </row>
    <row r="1004" spans="1:28" s="264" customFormat="1" ht="20.399999999999999">
      <c r="A1004" s="207"/>
      <c r="B1004" s="208"/>
      <c r="C1004" s="212"/>
      <c r="D1004" s="270"/>
      <c r="E1004" s="208"/>
      <c r="F1004" s="208"/>
      <c r="G1004" s="208"/>
      <c r="H1004" s="209"/>
      <c r="I1004" s="210"/>
      <c r="J1004" s="210"/>
      <c r="K1004" s="260"/>
      <c r="L1004" s="260"/>
      <c r="M1004" s="260"/>
      <c r="N1004" s="260"/>
      <c r="O1004" s="260"/>
      <c r="P1004" s="211"/>
      <c r="Q1004" s="261"/>
      <c r="R1004" s="208" t="str">
        <f ca="1">IF(ISERROR($V1004),"",OFFSET('Smelter Look-up'!$C$4,$V1004-4,0)&amp;"")</f>
        <v/>
      </c>
      <c r="S1004" s="215" t="str">
        <f t="shared" ca="1" si="141"/>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si="142"/>
        <v>0</v>
      </c>
      <c r="Y1004" s="263"/>
      <c r="Z1004" s="263"/>
      <c r="AB1004" s="265" t="str">
        <f t="shared" si="143"/>
        <v/>
      </c>
    </row>
    <row r="1005" spans="1:28" s="264" customFormat="1" ht="20.399999999999999">
      <c r="A1005" s="207"/>
      <c r="B1005" s="208"/>
      <c r="C1005" s="212"/>
      <c r="D1005" s="270"/>
      <c r="E1005" s="208"/>
      <c r="F1005" s="208"/>
      <c r="G1005" s="208"/>
      <c r="H1005" s="209"/>
      <c r="I1005" s="210"/>
      <c r="J1005" s="210"/>
      <c r="K1005" s="260"/>
      <c r="L1005" s="260"/>
      <c r="M1005" s="260"/>
      <c r="N1005" s="260"/>
      <c r="O1005" s="260"/>
      <c r="P1005" s="211"/>
      <c r="Q1005" s="261"/>
      <c r="R1005" s="208" t="str">
        <f ca="1">IF(ISERROR($V1005),"",OFFSET('Smelter Look-up'!$C$4,$V1005-4,0)&amp;"")</f>
        <v/>
      </c>
      <c r="S1005" s="215" t="str">
        <f t="shared" ca="1" si="141"/>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si="142"/>
        <v>0</v>
      </c>
      <c r="Y1005" s="263"/>
      <c r="Z1005" s="263"/>
      <c r="AB1005" s="265" t="str">
        <f t="shared" si="143"/>
        <v/>
      </c>
    </row>
    <row r="1006" spans="1:28" s="264" customFormat="1" ht="20.399999999999999">
      <c r="A1006" s="207"/>
      <c r="B1006" s="208"/>
      <c r="C1006" s="212"/>
      <c r="D1006" s="270"/>
      <c r="E1006" s="208"/>
      <c r="F1006" s="208"/>
      <c r="G1006" s="208"/>
      <c r="H1006" s="209"/>
      <c r="I1006" s="210"/>
      <c r="J1006" s="210"/>
      <c r="K1006" s="260"/>
      <c r="L1006" s="260"/>
      <c r="M1006" s="260"/>
      <c r="N1006" s="260"/>
      <c r="O1006" s="260"/>
      <c r="P1006" s="211"/>
      <c r="Q1006" s="261"/>
      <c r="R1006" s="208" t="str">
        <f ca="1">IF(ISERROR($V1006),"",OFFSET('Smelter Look-up'!$C$4,$V1006-4,0)&amp;"")</f>
        <v/>
      </c>
      <c r="S1006" s="215" t="str">
        <f t="shared" ca="1" si="141"/>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si="142"/>
        <v>0</v>
      </c>
      <c r="Y1006" s="263"/>
      <c r="Z1006" s="263"/>
      <c r="AB1006" s="265" t="str">
        <f t="shared" si="143"/>
        <v/>
      </c>
    </row>
    <row r="1007" spans="1:28" s="264" customFormat="1" ht="20.399999999999999">
      <c r="A1007" s="207"/>
      <c r="B1007" s="208"/>
      <c r="C1007" s="212"/>
      <c r="D1007" s="270"/>
      <c r="E1007" s="208"/>
      <c r="F1007" s="208"/>
      <c r="G1007" s="208"/>
      <c r="H1007" s="209"/>
      <c r="I1007" s="210"/>
      <c r="J1007" s="210"/>
      <c r="K1007" s="260"/>
      <c r="L1007" s="260"/>
      <c r="M1007" s="260"/>
      <c r="N1007" s="260"/>
      <c r="O1007" s="260"/>
      <c r="P1007" s="211"/>
      <c r="Q1007" s="261"/>
      <c r="R1007" s="208" t="str">
        <f ca="1">IF(ISERROR($V1007),"",OFFSET('Smelter Look-up'!$C$4,$V1007-4,0)&amp;"")</f>
        <v/>
      </c>
      <c r="S1007" s="215" t="str">
        <f t="shared" ca="1" si="141"/>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si="142"/>
        <v>0</v>
      </c>
      <c r="Y1007" s="263"/>
      <c r="Z1007" s="263"/>
      <c r="AB1007" s="265" t="str">
        <f t="shared" si="143"/>
        <v/>
      </c>
    </row>
    <row r="1008" spans="1:28" s="264" customFormat="1" ht="20.399999999999999">
      <c r="A1008" s="207"/>
      <c r="B1008" s="208"/>
      <c r="C1008" s="212"/>
      <c r="D1008" s="270"/>
      <c r="E1008" s="208"/>
      <c r="F1008" s="208"/>
      <c r="G1008" s="208"/>
      <c r="H1008" s="209"/>
      <c r="I1008" s="210"/>
      <c r="J1008" s="210"/>
      <c r="K1008" s="260"/>
      <c r="L1008" s="260"/>
      <c r="M1008" s="260"/>
      <c r="N1008" s="260"/>
      <c r="O1008" s="260"/>
      <c r="P1008" s="211"/>
      <c r="Q1008" s="261"/>
      <c r="R1008" s="208" t="str">
        <f ca="1">IF(ISERROR($V1008),"",OFFSET('Smelter Look-up'!$C$4,$V1008-4,0)&amp;"")</f>
        <v/>
      </c>
      <c r="S1008" s="215" t="str">
        <f t="shared" ca="1" si="141"/>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si="142"/>
        <v>0</v>
      </c>
      <c r="Y1008" s="263"/>
      <c r="Z1008" s="263"/>
      <c r="AB1008" s="265" t="str">
        <f t="shared" si="143"/>
        <v/>
      </c>
    </row>
    <row r="1009" spans="1:28" s="264" customFormat="1" ht="20.399999999999999">
      <c r="A1009" s="207"/>
      <c r="B1009" s="208"/>
      <c r="C1009" s="212"/>
      <c r="D1009" s="270"/>
      <c r="E1009" s="208"/>
      <c r="F1009" s="208"/>
      <c r="G1009" s="208"/>
      <c r="H1009" s="209"/>
      <c r="I1009" s="210"/>
      <c r="J1009" s="210"/>
      <c r="K1009" s="260"/>
      <c r="L1009" s="260"/>
      <c r="M1009" s="260"/>
      <c r="N1009" s="260"/>
      <c r="O1009" s="260"/>
      <c r="P1009" s="211"/>
      <c r="Q1009" s="261"/>
      <c r="R1009" s="208" t="str">
        <f ca="1">IF(ISERROR($V1009),"",OFFSET('Smelter Look-up'!$C$4,$V1009-4,0)&amp;"")</f>
        <v/>
      </c>
      <c r="S1009" s="215" t="str">
        <f t="shared" ca="1" si="141"/>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si="142"/>
        <v>0</v>
      </c>
      <c r="Y1009" s="263"/>
      <c r="Z1009" s="263"/>
      <c r="AB1009" s="265" t="str">
        <f t="shared" si="143"/>
        <v/>
      </c>
    </row>
    <row r="1010" spans="1:28" s="264" customFormat="1" ht="20.399999999999999">
      <c r="A1010" s="207"/>
      <c r="B1010" s="208"/>
      <c r="C1010" s="212"/>
      <c r="D1010" s="270"/>
      <c r="E1010" s="208"/>
      <c r="F1010" s="208"/>
      <c r="G1010" s="208"/>
      <c r="H1010" s="209"/>
      <c r="I1010" s="210"/>
      <c r="J1010" s="210"/>
      <c r="K1010" s="260"/>
      <c r="L1010" s="260"/>
      <c r="M1010" s="260"/>
      <c r="N1010" s="260"/>
      <c r="O1010" s="260"/>
      <c r="P1010" s="211"/>
      <c r="Q1010" s="261"/>
      <c r="R1010" s="208" t="str">
        <f ca="1">IF(ISERROR($V1010),"",OFFSET('Smelter Look-up'!$C$4,$V1010-4,0)&amp;"")</f>
        <v/>
      </c>
      <c r="S1010" s="215" t="str">
        <f t="shared" ca="1" si="141"/>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si="142"/>
        <v>0</v>
      </c>
      <c r="Y1010" s="263"/>
      <c r="Z1010" s="263"/>
      <c r="AB1010" s="265" t="str">
        <f t="shared" si="143"/>
        <v/>
      </c>
    </row>
    <row r="1011" spans="1:28" s="264" customFormat="1" ht="20.399999999999999">
      <c r="A1011" s="207"/>
      <c r="B1011" s="208"/>
      <c r="C1011" s="212"/>
      <c r="D1011" s="270"/>
      <c r="E1011" s="208"/>
      <c r="F1011" s="208"/>
      <c r="G1011" s="208"/>
      <c r="H1011" s="209"/>
      <c r="I1011" s="210"/>
      <c r="J1011" s="210"/>
      <c r="K1011" s="260"/>
      <c r="L1011" s="260"/>
      <c r="M1011" s="260"/>
      <c r="N1011" s="260"/>
      <c r="O1011" s="260"/>
      <c r="P1011" s="211"/>
      <c r="Q1011" s="261"/>
      <c r="R1011" s="208" t="str">
        <f ca="1">IF(ISERROR($V1011),"",OFFSET('Smelter Look-up'!$C$4,$V1011-4,0)&amp;"")</f>
        <v/>
      </c>
      <c r="S1011" s="215" t="str">
        <f t="shared" ca="1" si="141"/>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si="142"/>
        <v>0</v>
      </c>
      <c r="Y1011" s="263"/>
      <c r="Z1011" s="263"/>
      <c r="AB1011" s="265" t="str">
        <f t="shared" si="143"/>
        <v/>
      </c>
    </row>
    <row r="1012" spans="1:28" s="264" customFormat="1" ht="20.399999999999999">
      <c r="A1012" s="207"/>
      <c r="B1012" s="208"/>
      <c r="C1012" s="212"/>
      <c r="D1012" s="270"/>
      <c r="E1012" s="208"/>
      <c r="F1012" s="208"/>
      <c r="G1012" s="208"/>
      <c r="H1012" s="209"/>
      <c r="I1012" s="210"/>
      <c r="J1012" s="210"/>
      <c r="K1012" s="260"/>
      <c r="L1012" s="260"/>
      <c r="M1012" s="260"/>
      <c r="N1012" s="260"/>
      <c r="O1012" s="260"/>
      <c r="P1012" s="211"/>
      <c r="Q1012" s="261"/>
      <c r="R1012" s="208" t="str">
        <f ca="1">IF(ISERROR($V1012),"",OFFSET('Smelter Look-up'!$C$4,$V1012-4,0)&amp;"")</f>
        <v/>
      </c>
      <c r="S1012" s="215" t="str">
        <f t="shared" ca="1" si="141"/>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si="142"/>
        <v>0</v>
      </c>
      <c r="Y1012" s="263"/>
      <c r="Z1012" s="263"/>
      <c r="AB1012" s="265" t="str">
        <f t="shared" si="143"/>
        <v/>
      </c>
    </row>
    <row r="1013" spans="1:28" s="264" customFormat="1" ht="20.399999999999999">
      <c r="A1013" s="207"/>
      <c r="B1013" s="208"/>
      <c r="C1013" s="212"/>
      <c r="D1013" s="270"/>
      <c r="E1013" s="208"/>
      <c r="F1013" s="208"/>
      <c r="G1013" s="208"/>
      <c r="H1013" s="209"/>
      <c r="I1013" s="210"/>
      <c r="J1013" s="210"/>
      <c r="K1013" s="260"/>
      <c r="L1013" s="260"/>
      <c r="M1013" s="260"/>
      <c r="N1013" s="260"/>
      <c r="O1013" s="260"/>
      <c r="P1013" s="211"/>
      <c r="Q1013" s="261"/>
      <c r="R1013" s="208" t="str">
        <f ca="1">IF(ISERROR($V1013),"",OFFSET('Smelter Look-up'!$C$4,$V1013-4,0)&amp;"")</f>
        <v/>
      </c>
      <c r="S1013" s="215" t="str">
        <f t="shared" ca="1" si="141"/>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si="142"/>
        <v>0</v>
      </c>
      <c r="Y1013" s="263"/>
      <c r="Z1013" s="263"/>
      <c r="AB1013" s="265" t="str">
        <f t="shared" si="143"/>
        <v/>
      </c>
    </row>
    <row r="1014" spans="1:28" s="264" customFormat="1" ht="20.399999999999999">
      <c r="A1014" s="207"/>
      <c r="B1014" s="208"/>
      <c r="C1014" s="212"/>
      <c r="D1014" s="270"/>
      <c r="E1014" s="208"/>
      <c r="F1014" s="208"/>
      <c r="G1014" s="208"/>
      <c r="H1014" s="209"/>
      <c r="I1014" s="210"/>
      <c r="J1014" s="210"/>
      <c r="K1014" s="260"/>
      <c r="L1014" s="260"/>
      <c r="M1014" s="260"/>
      <c r="N1014" s="260"/>
      <c r="O1014" s="260"/>
      <c r="P1014" s="211"/>
      <c r="Q1014" s="261"/>
      <c r="R1014" s="208" t="str">
        <f ca="1">IF(ISERROR($V1014),"",OFFSET('Smelter Look-up'!$C$4,$V1014-4,0)&amp;"")</f>
        <v/>
      </c>
      <c r="S1014" s="215" t="str">
        <f t="shared" ca="1" si="141"/>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si="142"/>
        <v>0</v>
      </c>
      <c r="Y1014" s="263"/>
      <c r="Z1014" s="263"/>
      <c r="AB1014" s="265" t="str">
        <f t="shared" si="143"/>
        <v/>
      </c>
    </row>
    <row r="1015" spans="1:28" s="264" customFormat="1" ht="20.399999999999999">
      <c r="A1015" s="207"/>
      <c r="B1015" s="208"/>
      <c r="C1015" s="212"/>
      <c r="D1015" s="270"/>
      <c r="E1015" s="208"/>
      <c r="F1015" s="208"/>
      <c r="G1015" s="208"/>
      <c r="H1015" s="209"/>
      <c r="I1015" s="210"/>
      <c r="J1015" s="210"/>
      <c r="K1015" s="260"/>
      <c r="L1015" s="260"/>
      <c r="M1015" s="260"/>
      <c r="N1015" s="260"/>
      <c r="O1015" s="260"/>
      <c r="P1015" s="211"/>
      <c r="Q1015" s="261"/>
      <c r="R1015" s="208" t="str">
        <f ca="1">IF(ISERROR($V1015),"",OFFSET('Smelter Look-up'!$C$4,$V1015-4,0)&amp;"")</f>
        <v/>
      </c>
      <c r="S1015" s="215" t="str">
        <f t="shared" ca="1" si="141"/>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si="142"/>
        <v>0</v>
      </c>
      <c r="Y1015" s="263"/>
      <c r="Z1015" s="263"/>
      <c r="AB1015" s="265" t="str">
        <f t="shared" si="143"/>
        <v/>
      </c>
    </row>
    <row r="1016" spans="1:28" s="264" customFormat="1" ht="20.399999999999999">
      <c r="A1016" s="207"/>
      <c r="B1016" s="208"/>
      <c r="C1016" s="212"/>
      <c r="D1016" s="270"/>
      <c r="E1016" s="208"/>
      <c r="F1016" s="208"/>
      <c r="G1016" s="208"/>
      <c r="H1016" s="209"/>
      <c r="I1016" s="210"/>
      <c r="J1016" s="210"/>
      <c r="K1016" s="260"/>
      <c r="L1016" s="260"/>
      <c r="M1016" s="260"/>
      <c r="N1016" s="260"/>
      <c r="O1016" s="260"/>
      <c r="P1016" s="211"/>
      <c r="Q1016" s="261"/>
      <c r="R1016" s="208" t="str">
        <f ca="1">IF(ISERROR($V1016),"",OFFSET('Smelter Look-up'!$C$4,$V1016-4,0)&amp;"")</f>
        <v/>
      </c>
      <c r="S1016" s="215" t="str">
        <f t="shared" ca="1" si="141"/>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si="142"/>
        <v>0</v>
      </c>
      <c r="Y1016" s="263"/>
      <c r="Z1016" s="263"/>
      <c r="AB1016" s="265" t="str">
        <f t="shared" si="143"/>
        <v/>
      </c>
    </row>
    <row r="1017" spans="1:28" s="264" customFormat="1" ht="20.399999999999999">
      <c r="A1017" s="207"/>
      <c r="B1017" s="208"/>
      <c r="C1017" s="212"/>
      <c r="D1017" s="270"/>
      <c r="E1017" s="208"/>
      <c r="F1017" s="208"/>
      <c r="G1017" s="208"/>
      <c r="H1017" s="209"/>
      <c r="I1017" s="210"/>
      <c r="J1017" s="210"/>
      <c r="K1017" s="260"/>
      <c r="L1017" s="260"/>
      <c r="M1017" s="260"/>
      <c r="N1017" s="260"/>
      <c r="O1017" s="260"/>
      <c r="P1017" s="211"/>
      <c r="Q1017" s="261"/>
      <c r="R1017" s="208" t="str">
        <f ca="1">IF(ISERROR($V1017),"",OFFSET('Smelter Look-up'!$C$4,$V1017-4,0)&amp;"")</f>
        <v/>
      </c>
      <c r="S1017" s="215" t="str">
        <f t="shared" ca="1" si="141"/>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si="142"/>
        <v>0</v>
      </c>
      <c r="Y1017" s="263"/>
      <c r="Z1017" s="263"/>
      <c r="AB1017" s="265" t="str">
        <f t="shared" si="143"/>
        <v/>
      </c>
    </row>
    <row r="1018" spans="1:28" s="264" customFormat="1" ht="20.399999999999999">
      <c r="A1018" s="207"/>
      <c r="B1018" s="208"/>
      <c r="C1018" s="212"/>
      <c r="D1018" s="270"/>
      <c r="E1018" s="208"/>
      <c r="F1018" s="208"/>
      <c r="G1018" s="208"/>
      <c r="H1018" s="209"/>
      <c r="I1018" s="210"/>
      <c r="J1018" s="210"/>
      <c r="K1018" s="260"/>
      <c r="L1018" s="260"/>
      <c r="M1018" s="260"/>
      <c r="N1018" s="260"/>
      <c r="O1018" s="260"/>
      <c r="P1018" s="211"/>
      <c r="Q1018" s="261"/>
      <c r="R1018" s="208" t="str">
        <f ca="1">IF(ISERROR($V1018),"",OFFSET('Smelter Look-up'!$C$4,$V1018-4,0)&amp;"")</f>
        <v/>
      </c>
      <c r="S1018" s="215" t="str">
        <f t="shared" ca="1" si="141"/>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si="142"/>
        <v>0</v>
      </c>
      <c r="Y1018" s="263"/>
      <c r="Z1018" s="263"/>
      <c r="AB1018" s="265" t="str">
        <f t="shared" si="143"/>
        <v/>
      </c>
    </row>
    <row r="1019" spans="1:28" s="264" customFormat="1" ht="20.399999999999999">
      <c r="A1019" s="207"/>
      <c r="B1019" s="208"/>
      <c r="C1019" s="212"/>
      <c r="D1019" s="270"/>
      <c r="E1019" s="208"/>
      <c r="F1019" s="208"/>
      <c r="G1019" s="208"/>
      <c r="H1019" s="209"/>
      <c r="I1019" s="210"/>
      <c r="J1019" s="210"/>
      <c r="K1019" s="260"/>
      <c r="L1019" s="260"/>
      <c r="M1019" s="260"/>
      <c r="N1019" s="260"/>
      <c r="O1019" s="260"/>
      <c r="P1019" s="211"/>
      <c r="Q1019" s="261"/>
      <c r="R1019" s="208" t="str">
        <f ca="1">IF(ISERROR($V1019),"",OFFSET('Smelter Look-up'!$C$4,$V1019-4,0)&amp;"")</f>
        <v/>
      </c>
      <c r="S1019" s="215" t="str">
        <f t="shared" ref="S1019" ca="1" si="144">IF(B1019="","",IF(ISERROR(MATCH($E1019,CL,0)),"Unknown",INDIRECT("'C'!$A$"&amp;MATCH($E1019,CL,0)+1)))</f>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ref="X1019" si="145">IF(AND(C1019="Smelter not listed",OR(LEN(D1019)=0,LEN(E1019)=0)),1,0)</f>
        <v>0</v>
      </c>
      <c r="Y1019" s="263"/>
      <c r="Z1019" s="263"/>
      <c r="AB1019" s="265" t="str">
        <f t="shared" ref="AB1019" si="146">B1019&amp;C1019</f>
        <v/>
      </c>
    </row>
    <row r="1020" spans="1:28" s="264" customFormat="1" ht="20.399999999999999">
      <c r="A1020" s="207"/>
      <c r="B1020" s="208"/>
      <c r="C1020" s="212"/>
      <c r="D1020" s="270"/>
      <c r="E1020" s="208"/>
      <c r="F1020" s="208"/>
      <c r="G1020" s="208"/>
      <c r="H1020" s="209"/>
      <c r="I1020" s="210"/>
      <c r="J1020" s="210"/>
      <c r="K1020" s="260"/>
      <c r="L1020" s="260"/>
      <c r="M1020" s="260"/>
      <c r="N1020" s="260"/>
      <c r="O1020" s="260"/>
      <c r="P1020" s="211"/>
      <c r="Q1020" s="261"/>
      <c r="R1020" s="208" t="str">
        <f ca="1">IF(ISERROR($V1020),"",OFFSET('Smelter Look-up'!$C$4,$V1020-4,0)&amp;"")</f>
        <v/>
      </c>
      <c r="S1020" s="215" t="str">
        <f t="shared" ref="S1020:S1051" ca="1" si="147">IF(B1020="","",IF(ISERROR(MATCH($E1020,CL,0)),"Unknown",INDIRECT("'C'!$A$"&amp;MATCH($E1020,CL,0)+1)))</f>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ref="X1020:X1051" si="148">IF(AND(C1020="Smelter not listed",OR(LEN(D1020)=0,LEN(E1020)=0)),1,0)</f>
        <v>0</v>
      </c>
      <c r="Y1020" s="263"/>
      <c r="Z1020" s="263"/>
      <c r="AB1020" s="265" t="str">
        <f t="shared" ref="AB1020:AB1051" si="149">B1020&amp;C1020</f>
        <v/>
      </c>
    </row>
    <row r="1021" spans="1:28" s="264" customFormat="1" ht="20.399999999999999">
      <c r="A1021" s="207"/>
      <c r="B1021" s="208"/>
      <c r="C1021" s="212"/>
      <c r="D1021" s="270"/>
      <c r="E1021" s="208"/>
      <c r="F1021" s="208"/>
      <c r="G1021" s="208"/>
      <c r="H1021" s="209"/>
      <c r="I1021" s="210"/>
      <c r="J1021" s="210"/>
      <c r="K1021" s="260"/>
      <c r="L1021" s="260"/>
      <c r="M1021" s="260"/>
      <c r="N1021" s="260"/>
      <c r="O1021" s="260"/>
      <c r="P1021" s="211"/>
      <c r="Q1021" s="261"/>
      <c r="R1021" s="208" t="str">
        <f ca="1">IF(ISERROR($V1021),"",OFFSET('Smelter Look-up'!$C$4,$V1021-4,0)&amp;"")</f>
        <v/>
      </c>
      <c r="S1021" s="215" t="str">
        <f t="shared" ca="1" si="147"/>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si="148"/>
        <v>0</v>
      </c>
      <c r="Y1021" s="263"/>
      <c r="Z1021" s="263"/>
      <c r="AB1021" s="265" t="str">
        <f t="shared" si="149"/>
        <v/>
      </c>
    </row>
    <row r="1022" spans="1:28" s="264" customFormat="1" ht="20.399999999999999">
      <c r="A1022" s="207"/>
      <c r="B1022" s="208"/>
      <c r="C1022" s="212"/>
      <c r="D1022" s="270"/>
      <c r="E1022" s="208"/>
      <c r="F1022" s="208"/>
      <c r="G1022" s="208"/>
      <c r="H1022" s="209"/>
      <c r="I1022" s="210"/>
      <c r="J1022" s="210"/>
      <c r="K1022" s="260"/>
      <c r="L1022" s="260"/>
      <c r="M1022" s="260"/>
      <c r="N1022" s="260"/>
      <c r="O1022" s="260"/>
      <c r="P1022" s="211"/>
      <c r="Q1022" s="261"/>
      <c r="R1022" s="208" t="str">
        <f ca="1">IF(ISERROR($V1022),"",OFFSET('Smelter Look-up'!$C$4,$V1022-4,0)&amp;"")</f>
        <v/>
      </c>
      <c r="S1022" s="215" t="str">
        <f t="shared" ca="1" si="147"/>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si="148"/>
        <v>0</v>
      </c>
      <c r="Y1022" s="263"/>
      <c r="Z1022" s="263"/>
      <c r="AB1022" s="265" t="str">
        <f t="shared" si="149"/>
        <v/>
      </c>
    </row>
    <row r="1023" spans="1:28" s="264" customFormat="1" ht="20.399999999999999">
      <c r="A1023" s="207"/>
      <c r="B1023" s="208"/>
      <c r="C1023" s="212"/>
      <c r="D1023" s="270"/>
      <c r="E1023" s="208"/>
      <c r="F1023" s="208"/>
      <c r="G1023" s="208"/>
      <c r="H1023" s="209"/>
      <c r="I1023" s="210"/>
      <c r="J1023" s="210"/>
      <c r="K1023" s="260"/>
      <c r="L1023" s="260"/>
      <c r="M1023" s="260"/>
      <c r="N1023" s="260"/>
      <c r="O1023" s="260"/>
      <c r="P1023" s="211"/>
      <c r="Q1023" s="261"/>
      <c r="R1023" s="208" t="str">
        <f ca="1">IF(ISERROR($V1023),"",OFFSET('Smelter Look-up'!$C$4,$V1023-4,0)&amp;"")</f>
        <v/>
      </c>
      <c r="S1023" s="215" t="str">
        <f t="shared" ca="1" si="147"/>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si="148"/>
        <v>0</v>
      </c>
      <c r="Y1023" s="263"/>
      <c r="Z1023" s="263"/>
      <c r="AB1023" s="265" t="str">
        <f t="shared" si="149"/>
        <v/>
      </c>
    </row>
    <row r="1024" spans="1:28" s="264" customFormat="1" ht="20.399999999999999">
      <c r="A1024" s="207"/>
      <c r="B1024" s="208"/>
      <c r="C1024" s="212"/>
      <c r="D1024" s="270"/>
      <c r="E1024" s="208"/>
      <c r="F1024" s="208"/>
      <c r="G1024" s="208"/>
      <c r="H1024" s="209"/>
      <c r="I1024" s="210"/>
      <c r="J1024" s="210"/>
      <c r="K1024" s="260"/>
      <c r="L1024" s="260"/>
      <c r="M1024" s="260"/>
      <c r="N1024" s="260"/>
      <c r="O1024" s="260"/>
      <c r="P1024" s="211"/>
      <c r="Q1024" s="261"/>
      <c r="R1024" s="208" t="str">
        <f ca="1">IF(ISERROR($V1024),"",OFFSET('Smelter Look-up'!$C$4,$V1024-4,0)&amp;"")</f>
        <v/>
      </c>
      <c r="S1024" s="215" t="str">
        <f t="shared" ca="1" si="147"/>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si="148"/>
        <v>0</v>
      </c>
      <c r="Y1024" s="263"/>
      <c r="Z1024" s="263"/>
      <c r="AB1024" s="265" t="str">
        <f t="shared" si="149"/>
        <v/>
      </c>
    </row>
    <row r="1025" spans="1:28" s="264" customFormat="1" ht="20.399999999999999">
      <c r="A1025" s="207"/>
      <c r="B1025" s="208"/>
      <c r="C1025" s="212"/>
      <c r="D1025" s="270"/>
      <c r="E1025" s="208"/>
      <c r="F1025" s="208"/>
      <c r="G1025" s="208"/>
      <c r="H1025" s="209"/>
      <c r="I1025" s="210"/>
      <c r="J1025" s="210"/>
      <c r="K1025" s="260"/>
      <c r="L1025" s="260"/>
      <c r="M1025" s="260"/>
      <c r="N1025" s="260"/>
      <c r="O1025" s="260"/>
      <c r="P1025" s="211"/>
      <c r="Q1025" s="261"/>
      <c r="R1025" s="208" t="str">
        <f ca="1">IF(ISERROR($V1025),"",OFFSET('Smelter Look-up'!$C$4,$V1025-4,0)&amp;"")</f>
        <v/>
      </c>
      <c r="S1025" s="215" t="str">
        <f t="shared" ca="1" si="147"/>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si="148"/>
        <v>0</v>
      </c>
      <c r="Y1025" s="263"/>
      <c r="Z1025" s="263"/>
      <c r="AB1025" s="265" t="str">
        <f t="shared" si="149"/>
        <v/>
      </c>
    </row>
    <row r="1026" spans="1:28" s="264" customFormat="1" ht="20.399999999999999">
      <c r="A1026" s="207"/>
      <c r="B1026" s="208"/>
      <c r="C1026" s="212"/>
      <c r="D1026" s="270"/>
      <c r="E1026" s="208"/>
      <c r="F1026" s="208"/>
      <c r="G1026" s="208"/>
      <c r="H1026" s="209"/>
      <c r="I1026" s="210"/>
      <c r="J1026" s="210"/>
      <c r="K1026" s="260"/>
      <c r="L1026" s="260"/>
      <c r="M1026" s="260"/>
      <c r="N1026" s="260"/>
      <c r="O1026" s="260"/>
      <c r="P1026" s="211"/>
      <c r="Q1026" s="261"/>
      <c r="R1026" s="208" t="str">
        <f ca="1">IF(ISERROR($V1026),"",OFFSET('Smelter Look-up'!$C$4,$V1026-4,0)&amp;"")</f>
        <v/>
      </c>
      <c r="S1026" s="215" t="str">
        <f t="shared" ca="1" si="147"/>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si="148"/>
        <v>0</v>
      </c>
      <c r="Y1026" s="263"/>
      <c r="Z1026" s="263"/>
      <c r="AB1026" s="265" t="str">
        <f t="shared" si="149"/>
        <v/>
      </c>
    </row>
    <row r="1027" spans="1:28" s="264" customFormat="1" ht="20.399999999999999">
      <c r="A1027" s="207"/>
      <c r="B1027" s="208"/>
      <c r="C1027" s="212"/>
      <c r="D1027" s="270"/>
      <c r="E1027" s="208"/>
      <c r="F1027" s="208"/>
      <c r="G1027" s="208"/>
      <c r="H1027" s="209"/>
      <c r="I1027" s="210"/>
      <c r="J1027" s="210"/>
      <c r="K1027" s="260"/>
      <c r="L1027" s="260"/>
      <c r="M1027" s="260"/>
      <c r="N1027" s="260"/>
      <c r="O1027" s="260"/>
      <c r="P1027" s="211"/>
      <c r="Q1027" s="261"/>
      <c r="R1027" s="208" t="str">
        <f ca="1">IF(ISERROR($V1027),"",OFFSET('Smelter Look-up'!$C$4,$V1027-4,0)&amp;"")</f>
        <v/>
      </c>
      <c r="S1027" s="215" t="str">
        <f t="shared" ca="1" si="147"/>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si="148"/>
        <v>0</v>
      </c>
      <c r="Y1027" s="263"/>
      <c r="Z1027" s="263"/>
      <c r="AB1027" s="265" t="str">
        <f t="shared" si="149"/>
        <v/>
      </c>
    </row>
    <row r="1028" spans="1:28" s="264" customFormat="1" ht="20.399999999999999">
      <c r="A1028" s="207"/>
      <c r="B1028" s="208"/>
      <c r="C1028" s="212"/>
      <c r="D1028" s="270"/>
      <c r="E1028" s="208"/>
      <c r="F1028" s="208"/>
      <c r="G1028" s="208"/>
      <c r="H1028" s="209"/>
      <c r="I1028" s="210"/>
      <c r="J1028" s="210"/>
      <c r="K1028" s="260"/>
      <c r="L1028" s="260"/>
      <c r="M1028" s="260"/>
      <c r="N1028" s="260"/>
      <c r="O1028" s="260"/>
      <c r="P1028" s="211"/>
      <c r="Q1028" s="261"/>
      <c r="R1028" s="208" t="str">
        <f ca="1">IF(ISERROR($V1028),"",OFFSET('Smelter Look-up'!$C$4,$V1028-4,0)&amp;"")</f>
        <v/>
      </c>
      <c r="S1028" s="215" t="str">
        <f t="shared" ca="1" si="147"/>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si="148"/>
        <v>0</v>
      </c>
      <c r="Y1028" s="263"/>
      <c r="Z1028" s="263"/>
      <c r="AB1028" s="265" t="str">
        <f t="shared" si="149"/>
        <v/>
      </c>
    </row>
    <row r="1029" spans="1:28" s="264" customFormat="1" ht="20.399999999999999">
      <c r="A1029" s="207"/>
      <c r="B1029" s="208"/>
      <c r="C1029" s="212"/>
      <c r="D1029" s="270"/>
      <c r="E1029" s="208"/>
      <c r="F1029" s="208"/>
      <c r="G1029" s="208"/>
      <c r="H1029" s="209"/>
      <c r="I1029" s="210"/>
      <c r="J1029" s="210"/>
      <c r="K1029" s="260"/>
      <c r="L1029" s="260"/>
      <c r="M1029" s="260"/>
      <c r="N1029" s="260"/>
      <c r="O1029" s="260"/>
      <c r="P1029" s="211"/>
      <c r="Q1029" s="261"/>
      <c r="R1029" s="208" t="str">
        <f ca="1">IF(ISERROR($V1029),"",OFFSET('Smelter Look-up'!$C$4,$V1029-4,0)&amp;"")</f>
        <v/>
      </c>
      <c r="S1029" s="215" t="str">
        <f t="shared" ca="1" si="147"/>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si="148"/>
        <v>0</v>
      </c>
      <c r="Y1029" s="263"/>
      <c r="Z1029" s="263"/>
      <c r="AB1029" s="265" t="str">
        <f t="shared" si="149"/>
        <v/>
      </c>
    </row>
    <row r="1030" spans="1:28" s="264" customFormat="1" ht="20.399999999999999">
      <c r="A1030" s="207"/>
      <c r="B1030" s="208"/>
      <c r="C1030" s="212"/>
      <c r="D1030" s="270"/>
      <c r="E1030" s="208"/>
      <c r="F1030" s="208"/>
      <c r="G1030" s="208"/>
      <c r="H1030" s="209"/>
      <c r="I1030" s="210"/>
      <c r="J1030" s="210"/>
      <c r="K1030" s="260"/>
      <c r="L1030" s="260"/>
      <c r="M1030" s="260"/>
      <c r="N1030" s="260"/>
      <c r="O1030" s="260"/>
      <c r="P1030" s="211"/>
      <c r="Q1030" s="261"/>
      <c r="R1030" s="208" t="str">
        <f ca="1">IF(ISERROR($V1030),"",OFFSET('Smelter Look-up'!$C$4,$V1030-4,0)&amp;"")</f>
        <v/>
      </c>
      <c r="S1030" s="215" t="str">
        <f t="shared" ca="1" si="147"/>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si="148"/>
        <v>0</v>
      </c>
      <c r="Y1030" s="263"/>
      <c r="Z1030" s="263"/>
      <c r="AB1030" s="265" t="str">
        <f t="shared" si="149"/>
        <v/>
      </c>
    </row>
    <row r="1031" spans="1:28" s="264" customFormat="1" ht="20.399999999999999">
      <c r="A1031" s="207"/>
      <c r="B1031" s="208"/>
      <c r="C1031" s="212"/>
      <c r="D1031" s="270"/>
      <c r="E1031" s="208"/>
      <c r="F1031" s="208"/>
      <c r="G1031" s="208"/>
      <c r="H1031" s="209"/>
      <c r="I1031" s="210"/>
      <c r="J1031" s="210"/>
      <c r="K1031" s="260"/>
      <c r="L1031" s="260"/>
      <c r="M1031" s="260"/>
      <c r="N1031" s="260"/>
      <c r="O1031" s="260"/>
      <c r="P1031" s="211"/>
      <c r="Q1031" s="261"/>
      <c r="R1031" s="208" t="str">
        <f ca="1">IF(ISERROR($V1031),"",OFFSET('Smelter Look-up'!$C$4,$V1031-4,0)&amp;"")</f>
        <v/>
      </c>
      <c r="S1031" s="215" t="str">
        <f t="shared" ca="1" si="147"/>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si="148"/>
        <v>0</v>
      </c>
      <c r="Y1031" s="263"/>
      <c r="Z1031" s="263"/>
      <c r="AB1031" s="265" t="str">
        <f t="shared" si="149"/>
        <v/>
      </c>
    </row>
    <row r="1032" spans="1:28" s="264" customFormat="1" ht="20.399999999999999">
      <c r="A1032" s="207"/>
      <c r="B1032" s="208"/>
      <c r="C1032" s="212"/>
      <c r="D1032" s="270"/>
      <c r="E1032" s="208"/>
      <c r="F1032" s="208"/>
      <c r="G1032" s="208"/>
      <c r="H1032" s="209"/>
      <c r="I1032" s="210"/>
      <c r="J1032" s="210"/>
      <c r="K1032" s="260"/>
      <c r="L1032" s="260"/>
      <c r="M1032" s="260"/>
      <c r="N1032" s="260"/>
      <c r="O1032" s="260"/>
      <c r="P1032" s="211"/>
      <c r="Q1032" s="261"/>
      <c r="R1032" s="208" t="str">
        <f ca="1">IF(ISERROR($V1032),"",OFFSET('Smelter Look-up'!$C$4,$V1032-4,0)&amp;"")</f>
        <v/>
      </c>
      <c r="S1032" s="215" t="str">
        <f t="shared" ca="1" si="147"/>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si="148"/>
        <v>0</v>
      </c>
      <c r="Y1032" s="263"/>
      <c r="Z1032" s="263"/>
      <c r="AB1032" s="265" t="str">
        <f t="shared" si="149"/>
        <v/>
      </c>
    </row>
    <row r="1033" spans="1:28" s="264" customFormat="1" ht="20.399999999999999">
      <c r="A1033" s="207"/>
      <c r="B1033" s="208"/>
      <c r="C1033" s="212"/>
      <c r="D1033" s="270"/>
      <c r="E1033" s="208"/>
      <c r="F1033" s="208"/>
      <c r="G1033" s="208"/>
      <c r="H1033" s="209"/>
      <c r="I1033" s="210"/>
      <c r="J1033" s="210"/>
      <c r="K1033" s="260"/>
      <c r="L1033" s="260"/>
      <c r="M1033" s="260"/>
      <c r="N1033" s="260"/>
      <c r="O1033" s="260"/>
      <c r="P1033" s="211"/>
      <c r="Q1033" s="261"/>
      <c r="R1033" s="208" t="str">
        <f ca="1">IF(ISERROR($V1033),"",OFFSET('Smelter Look-up'!$C$4,$V1033-4,0)&amp;"")</f>
        <v/>
      </c>
      <c r="S1033" s="215" t="str">
        <f t="shared" ca="1" si="147"/>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si="148"/>
        <v>0</v>
      </c>
      <c r="Y1033" s="263"/>
      <c r="Z1033" s="263"/>
      <c r="AB1033" s="265" t="str">
        <f t="shared" si="149"/>
        <v/>
      </c>
    </row>
    <row r="1034" spans="1:28" s="264" customFormat="1" ht="20.399999999999999">
      <c r="A1034" s="207"/>
      <c r="B1034" s="208"/>
      <c r="C1034" s="212"/>
      <c r="D1034" s="270"/>
      <c r="E1034" s="208"/>
      <c r="F1034" s="208"/>
      <c r="G1034" s="208"/>
      <c r="H1034" s="209"/>
      <c r="I1034" s="210"/>
      <c r="J1034" s="210"/>
      <c r="K1034" s="260"/>
      <c r="L1034" s="260"/>
      <c r="M1034" s="260"/>
      <c r="N1034" s="260"/>
      <c r="O1034" s="260"/>
      <c r="P1034" s="211"/>
      <c r="Q1034" s="261"/>
      <c r="R1034" s="208" t="str">
        <f ca="1">IF(ISERROR($V1034),"",OFFSET('Smelter Look-up'!$C$4,$V1034-4,0)&amp;"")</f>
        <v/>
      </c>
      <c r="S1034" s="215" t="str">
        <f t="shared" ca="1" si="147"/>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si="148"/>
        <v>0</v>
      </c>
      <c r="Y1034" s="263"/>
      <c r="Z1034" s="263"/>
      <c r="AB1034" s="265" t="str">
        <f t="shared" si="149"/>
        <v/>
      </c>
    </row>
    <row r="1035" spans="1:28" s="264" customFormat="1" ht="20.399999999999999">
      <c r="A1035" s="207"/>
      <c r="B1035" s="208"/>
      <c r="C1035" s="212"/>
      <c r="D1035" s="270"/>
      <c r="E1035" s="208"/>
      <c r="F1035" s="208"/>
      <c r="G1035" s="208"/>
      <c r="H1035" s="209"/>
      <c r="I1035" s="210"/>
      <c r="J1035" s="210"/>
      <c r="K1035" s="260"/>
      <c r="L1035" s="260"/>
      <c r="M1035" s="260"/>
      <c r="N1035" s="260"/>
      <c r="O1035" s="260"/>
      <c r="P1035" s="211"/>
      <c r="Q1035" s="261"/>
      <c r="R1035" s="208" t="str">
        <f ca="1">IF(ISERROR($V1035),"",OFFSET('Smelter Look-up'!$C$4,$V1035-4,0)&amp;"")</f>
        <v/>
      </c>
      <c r="S1035" s="215" t="str">
        <f t="shared" ca="1" si="147"/>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si="148"/>
        <v>0</v>
      </c>
      <c r="Y1035" s="263"/>
      <c r="Z1035" s="263"/>
      <c r="AB1035" s="265" t="str">
        <f t="shared" si="149"/>
        <v/>
      </c>
    </row>
    <row r="1036" spans="1:28" s="264" customFormat="1" ht="20.399999999999999">
      <c r="A1036" s="207"/>
      <c r="B1036" s="208"/>
      <c r="C1036" s="212"/>
      <c r="D1036" s="270"/>
      <c r="E1036" s="208"/>
      <c r="F1036" s="208"/>
      <c r="G1036" s="208"/>
      <c r="H1036" s="209"/>
      <c r="I1036" s="210"/>
      <c r="J1036" s="210"/>
      <c r="K1036" s="260"/>
      <c r="L1036" s="260"/>
      <c r="M1036" s="260"/>
      <c r="N1036" s="260"/>
      <c r="O1036" s="260"/>
      <c r="P1036" s="211"/>
      <c r="Q1036" s="261"/>
      <c r="R1036" s="208" t="str">
        <f ca="1">IF(ISERROR($V1036),"",OFFSET('Smelter Look-up'!$C$4,$V1036-4,0)&amp;"")</f>
        <v/>
      </c>
      <c r="S1036" s="215" t="str">
        <f t="shared" ca="1" si="147"/>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si="148"/>
        <v>0</v>
      </c>
      <c r="Y1036" s="263"/>
      <c r="Z1036" s="263"/>
      <c r="AB1036" s="265" t="str">
        <f t="shared" si="149"/>
        <v/>
      </c>
    </row>
    <row r="1037" spans="1:28" s="264" customFormat="1" ht="20.399999999999999">
      <c r="A1037" s="207"/>
      <c r="B1037" s="208"/>
      <c r="C1037" s="212"/>
      <c r="D1037" s="270"/>
      <c r="E1037" s="208"/>
      <c r="F1037" s="208"/>
      <c r="G1037" s="208"/>
      <c r="H1037" s="209"/>
      <c r="I1037" s="210"/>
      <c r="J1037" s="210"/>
      <c r="K1037" s="260"/>
      <c r="L1037" s="260"/>
      <c r="M1037" s="260"/>
      <c r="N1037" s="260"/>
      <c r="O1037" s="260"/>
      <c r="P1037" s="211"/>
      <c r="Q1037" s="261"/>
      <c r="R1037" s="208" t="str">
        <f ca="1">IF(ISERROR($V1037),"",OFFSET('Smelter Look-up'!$C$4,$V1037-4,0)&amp;"")</f>
        <v/>
      </c>
      <c r="S1037" s="215" t="str">
        <f t="shared" ca="1" si="147"/>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si="148"/>
        <v>0</v>
      </c>
      <c r="Y1037" s="263"/>
      <c r="Z1037" s="263"/>
      <c r="AB1037" s="265" t="str">
        <f t="shared" si="149"/>
        <v/>
      </c>
    </row>
    <row r="1038" spans="1:28" s="264" customFormat="1" ht="20.399999999999999">
      <c r="A1038" s="207"/>
      <c r="B1038" s="208"/>
      <c r="C1038" s="212"/>
      <c r="D1038" s="270"/>
      <c r="E1038" s="208"/>
      <c r="F1038" s="208"/>
      <c r="G1038" s="208"/>
      <c r="H1038" s="209"/>
      <c r="I1038" s="210"/>
      <c r="J1038" s="210"/>
      <c r="K1038" s="260"/>
      <c r="L1038" s="260"/>
      <c r="M1038" s="260"/>
      <c r="N1038" s="260"/>
      <c r="O1038" s="260"/>
      <c r="P1038" s="211"/>
      <c r="Q1038" s="261"/>
      <c r="R1038" s="208" t="str">
        <f ca="1">IF(ISERROR($V1038),"",OFFSET('Smelter Look-up'!$C$4,$V1038-4,0)&amp;"")</f>
        <v/>
      </c>
      <c r="S1038" s="215" t="str">
        <f t="shared" ca="1" si="147"/>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si="148"/>
        <v>0</v>
      </c>
      <c r="Y1038" s="263"/>
      <c r="Z1038" s="263"/>
      <c r="AB1038" s="265" t="str">
        <f t="shared" si="149"/>
        <v/>
      </c>
    </row>
    <row r="1039" spans="1:28" s="264" customFormat="1" ht="20.399999999999999">
      <c r="A1039" s="207"/>
      <c r="B1039" s="208"/>
      <c r="C1039" s="212"/>
      <c r="D1039" s="270"/>
      <c r="E1039" s="208"/>
      <c r="F1039" s="208"/>
      <c r="G1039" s="208"/>
      <c r="H1039" s="209"/>
      <c r="I1039" s="210"/>
      <c r="J1039" s="210"/>
      <c r="K1039" s="260"/>
      <c r="L1039" s="260"/>
      <c r="M1039" s="260"/>
      <c r="N1039" s="260"/>
      <c r="O1039" s="260"/>
      <c r="P1039" s="211"/>
      <c r="Q1039" s="261"/>
      <c r="R1039" s="208" t="str">
        <f ca="1">IF(ISERROR($V1039),"",OFFSET('Smelter Look-up'!$C$4,$V1039-4,0)&amp;"")</f>
        <v/>
      </c>
      <c r="S1039" s="215" t="str">
        <f t="shared" ca="1" si="147"/>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si="148"/>
        <v>0</v>
      </c>
      <c r="Y1039" s="263"/>
      <c r="Z1039" s="263"/>
      <c r="AB1039" s="265" t="str">
        <f t="shared" si="149"/>
        <v/>
      </c>
    </row>
    <row r="1040" spans="1:28" s="264" customFormat="1" ht="20.399999999999999">
      <c r="A1040" s="207"/>
      <c r="B1040" s="208"/>
      <c r="C1040" s="212"/>
      <c r="D1040" s="270"/>
      <c r="E1040" s="208"/>
      <c r="F1040" s="208"/>
      <c r="G1040" s="208"/>
      <c r="H1040" s="209"/>
      <c r="I1040" s="210"/>
      <c r="J1040" s="210"/>
      <c r="K1040" s="260"/>
      <c r="L1040" s="260"/>
      <c r="M1040" s="260"/>
      <c r="N1040" s="260"/>
      <c r="O1040" s="260"/>
      <c r="P1040" s="211"/>
      <c r="Q1040" s="261"/>
      <c r="R1040" s="208" t="str">
        <f ca="1">IF(ISERROR($V1040),"",OFFSET('Smelter Look-up'!$C$4,$V1040-4,0)&amp;"")</f>
        <v/>
      </c>
      <c r="S1040" s="215" t="str">
        <f t="shared" ca="1" si="147"/>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si="148"/>
        <v>0</v>
      </c>
      <c r="Y1040" s="263"/>
      <c r="Z1040" s="263"/>
      <c r="AB1040" s="265" t="str">
        <f t="shared" si="149"/>
        <v/>
      </c>
    </row>
    <row r="1041" spans="1:28" s="264" customFormat="1" ht="20.399999999999999">
      <c r="A1041" s="207"/>
      <c r="B1041" s="208"/>
      <c r="C1041" s="212"/>
      <c r="D1041" s="270"/>
      <c r="E1041" s="208"/>
      <c r="F1041" s="208"/>
      <c r="G1041" s="208"/>
      <c r="H1041" s="209"/>
      <c r="I1041" s="210"/>
      <c r="J1041" s="210"/>
      <c r="K1041" s="260"/>
      <c r="L1041" s="260"/>
      <c r="M1041" s="260"/>
      <c r="N1041" s="260"/>
      <c r="O1041" s="260"/>
      <c r="P1041" s="211"/>
      <c r="Q1041" s="261"/>
      <c r="R1041" s="208" t="str">
        <f ca="1">IF(ISERROR($V1041),"",OFFSET('Smelter Look-up'!$C$4,$V1041-4,0)&amp;"")</f>
        <v/>
      </c>
      <c r="S1041" s="215" t="str">
        <f t="shared" ca="1" si="147"/>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si="148"/>
        <v>0</v>
      </c>
      <c r="Y1041" s="263"/>
      <c r="Z1041" s="263"/>
      <c r="AB1041" s="265" t="str">
        <f t="shared" si="149"/>
        <v/>
      </c>
    </row>
    <row r="1042" spans="1:28" s="264" customFormat="1" ht="20.399999999999999">
      <c r="A1042" s="207"/>
      <c r="B1042" s="208"/>
      <c r="C1042" s="212"/>
      <c r="D1042" s="270"/>
      <c r="E1042" s="208"/>
      <c r="F1042" s="208"/>
      <c r="G1042" s="208"/>
      <c r="H1042" s="209"/>
      <c r="I1042" s="210"/>
      <c r="J1042" s="210"/>
      <c r="K1042" s="260"/>
      <c r="L1042" s="260"/>
      <c r="M1042" s="260"/>
      <c r="N1042" s="260"/>
      <c r="O1042" s="260"/>
      <c r="P1042" s="211"/>
      <c r="Q1042" s="261"/>
      <c r="R1042" s="208" t="str">
        <f ca="1">IF(ISERROR($V1042),"",OFFSET('Smelter Look-up'!$C$4,$V1042-4,0)&amp;"")</f>
        <v/>
      </c>
      <c r="S1042" s="215" t="str">
        <f t="shared" ca="1" si="147"/>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si="148"/>
        <v>0</v>
      </c>
      <c r="Y1042" s="263"/>
      <c r="Z1042" s="263"/>
      <c r="AB1042" s="265" t="str">
        <f t="shared" si="149"/>
        <v/>
      </c>
    </row>
    <row r="1043" spans="1:28" s="264" customFormat="1" ht="20.399999999999999">
      <c r="A1043" s="207"/>
      <c r="B1043" s="208"/>
      <c r="C1043" s="212"/>
      <c r="D1043" s="270"/>
      <c r="E1043" s="208"/>
      <c r="F1043" s="208"/>
      <c r="G1043" s="208"/>
      <c r="H1043" s="209"/>
      <c r="I1043" s="210"/>
      <c r="J1043" s="210"/>
      <c r="K1043" s="260"/>
      <c r="L1043" s="260"/>
      <c r="M1043" s="260"/>
      <c r="N1043" s="260"/>
      <c r="O1043" s="260"/>
      <c r="P1043" s="211"/>
      <c r="Q1043" s="261"/>
      <c r="R1043" s="208" t="str">
        <f ca="1">IF(ISERROR($V1043),"",OFFSET('Smelter Look-up'!$C$4,$V1043-4,0)&amp;"")</f>
        <v/>
      </c>
      <c r="S1043" s="215" t="str">
        <f t="shared" ca="1" si="147"/>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si="148"/>
        <v>0</v>
      </c>
      <c r="Y1043" s="263"/>
      <c r="Z1043" s="263"/>
      <c r="AB1043" s="265" t="str">
        <f t="shared" si="149"/>
        <v/>
      </c>
    </row>
    <row r="1044" spans="1:28" s="264" customFormat="1" ht="20.399999999999999">
      <c r="A1044" s="207"/>
      <c r="B1044" s="208"/>
      <c r="C1044" s="212"/>
      <c r="D1044" s="270"/>
      <c r="E1044" s="208"/>
      <c r="F1044" s="208"/>
      <c r="G1044" s="208"/>
      <c r="H1044" s="209"/>
      <c r="I1044" s="210"/>
      <c r="J1044" s="210"/>
      <c r="K1044" s="260"/>
      <c r="L1044" s="260"/>
      <c r="M1044" s="260"/>
      <c r="N1044" s="260"/>
      <c r="O1044" s="260"/>
      <c r="P1044" s="211"/>
      <c r="Q1044" s="261"/>
      <c r="R1044" s="208" t="str">
        <f ca="1">IF(ISERROR($V1044),"",OFFSET('Smelter Look-up'!$C$4,$V1044-4,0)&amp;"")</f>
        <v/>
      </c>
      <c r="S1044" s="215" t="str">
        <f t="shared" ca="1" si="147"/>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si="148"/>
        <v>0</v>
      </c>
      <c r="Y1044" s="263"/>
      <c r="Z1044" s="263"/>
      <c r="AB1044" s="265" t="str">
        <f t="shared" si="149"/>
        <v/>
      </c>
    </row>
    <row r="1045" spans="1:28" s="264" customFormat="1" ht="20.399999999999999">
      <c r="A1045" s="207"/>
      <c r="B1045" s="208"/>
      <c r="C1045" s="212"/>
      <c r="D1045" s="270"/>
      <c r="E1045" s="208"/>
      <c r="F1045" s="208"/>
      <c r="G1045" s="208"/>
      <c r="H1045" s="209"/>
      <c r="I1045" s="210"/>
      <c r="J1045" s="210"/>
      <c r="K1045" s="260"/>
      <c r="L1045" s="260"/>
      <c r="M1045" s="260"/>
      <c r="N1045" s="260"/>
      <c r="O1045" s="260"/>
      <c r="P1045" s="211"/>
      <c r="Q1045" s="261"/>
      <c r="R1045" s="208" t="str">
        <f ca="1">IF(ISERROR($V1045),"",OFFSET('Smelter Look-up'!$C$4,$V1045-4,0)&amp;"")</f>
        <v/>
      </c>
      <c r="S1045" s="215" t="str">
        <f t="shared" ca="1" si="147"/>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si="148"/>
        <v>0</v>
      </c>
      <c r="Y1045" s="263"/>
      <c r="Z1045" s="263"/>
      <c r="AB1045" s="265" t="str">
        <f t="shared" si="149"/>
        <v/>
      </c>
    </row>
    <row r="1046" spans="1:28" s="264" customFormat="1" ht="20.399999999999999">
      <c r="A1046" s="207"/>
      <c r="B1046" s="208"/>
      <c r="C1046" s="212"/>
      <c r="D1046" s="270"/>
      <c r="E1046" s="208"/>
      <c r="F1046" s="208"/>
      <c r="G1046" s="208"/>
      <c r="H1046" s="209"/>
      <c r="I1046" s="210"/>
      <c r="J1046" s="210"/>
      <c r="K1046" s="260"/>
      <c r="L1046" s="260"/>
      <c r="M1046" s="260"/>
      <c r="N1046" s="260"/>
      <c r="O1046" s="260"/>
      <c r="P1046" s="211"/>
      <c r="Q1046" s="261"/>
      <c r="R1046" s="208" t="str">
        <f ca="1">IF(ISERROR($V1046),"",OFFSET('Smelter Look-up'!$C$4,$V1046-4,0)&amp;"")</f>
        <v/>
      </c>
      <c r="S1046" s="215" t="str">
        <f t="shared" ca="1" si="147"/>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si="148"/>
        <v>0</v>
      </c>
      <c r="Y1046" s="263"/>
      <c r="Z1046" s="263"/>
      <c r="AB1046" s="265" t="str">
        <f t="shared" si="149"/>
        <v/>
      </c>
    </row>
    <row r="1047" spans="1:28" s="264" customFormat="1" ht="20.399999999999999">
      <c r="A1047" s="207"/>
      <c r="B1047" s="208"/>
      <c r="C1047" s="212"/>
      <c r="D1047" s="270"/>
      <c r="E1047" s="208"/>
      <c r="F1047" s="208"/>
      <c r="G1047" s="208"/>
      <c r="H1047" s="209"/>
      <c r="I1047" s="210"/>
      <c r="J1047" s="210"/>
      <c r="K1047" s="260"/>
      <c r="L1047" s="260"/>
      <c r="M1047" s="260"/>
      <c r="N1047" s="260"/>
      <c r="O1047" s="260"/>
      <c r="P1047" s="211"/>
      <c r="Q1047" s="261"/>
      <c r="R1047" s="208" t="str">
        <f ca="1">IF(ISERROR($V1047),"",OFFSET('Smelter Look-up'!$C$4,$V1047-4,0)&amp;"")</f>
        <v/>
      </c>
      <c r="S1047" s="215" t="str">
        <f t="shared" ca="1" si="147"/>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si="148"/>
        <v>0</v>
      </c>
      <c r="Y1047" s="263"/>
      <c r="Z1047" s="263"/>
      <c r="AB1047" s="265" t="str">
        <f t="shared" si="149"/>
        <v/>
      </c>
    </row>
    <row r="1048" spans="1:28" s="264" customFormat="1" ht="20.399999999999999">
      <c r="A1048" s="207"/>
      <c r="B1048" s="208"/>
      <c r="C1048" s="212"/>
      <c r="D1048" s="270"/>
      <c r="E1048" s="208"/>
      <c r="F1048" s="208"/>
      <c r="G1048" s="208"/>
      <c r="H1048" s="209"/>
      <c r="I1048" s="210"/>
      <c r="J1048" s="210"/>
      <c r="K1048" s="260"/>
      <c r="L1048" s="260"/>
      <c r="M1048" s="260"/>
      <c r="N1048" s="260"/>
      <c r="O1048" s="260"/>
      <c r="P1048" s="211"/>
      <c r="Q1048" s="261"/>
      <c r="R1048" s="208" t="str">
        <f ca="1">IF(ISERROR($V1048),"",OFFSET('Smelter Look-up'!$C$4,$V1048-4,0)&amp;"")</f>
        <v/>
      </c>
      <c r="S1048" s="215" t="str">
        <f t="shared" ca="1" si="147"/>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si="148"/>
        <v>0</v>
      </c>
      <c r="Y1048" s="263"/>
      <c r="Z1048" s="263"/>
      <c r="AB1048" s="265" t="str">
        <f t="shared" si="149"/>
        <v/>
      </c>
    </row>
    <row r="1049" spans="1:28" s="264" customFormat="1" ht="20.399999999999999">
      <c r="A1049" s="207"/>
      <c r="B1049" s="208"/>
      <c r="C1049" s="212"/>
      <c r="D1049" s="270"/>
      <c r="E1049" s="208"/>
      <c r="F1049" s="208"/>
      <c r="G1049" s="208"/>
      <c r="H1049" s="209"/>
      <c r="I1049" s="210"/>
      <c r="J1049" s="210"/>
      <c r="K1049" s="260"/>
      <c r="L1049" s="260"/>
      <c r="M1049" s="260"/>
      <c r="N1049" s="260"/>
      <c r="O1049" s="260"/>
      <c r="P1049" s="211"/>
      <c r="Q1049" s="261"/>
      <c r="R1049" s="208" t="str">
        <f ca="1">IF(ISERROR($V1049),"",OFFSET('Smelter Look-up'!$C$4,$V1049-4,0)&amp;"")</f>
        <v/>
      </c>
      <c r="S1049" s="215" t="str">
        <f t="shared" ca="1" si="147"/>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si="148"/>
        <v>0</v>
      </c>
      <c r="Y1049" s="263"/>
      <c r="Z1049" s="263"/>
      <c r="AB1049" s="265" t="str">
        <f t="shared" si="149"/>
        <v/>
      </c>
    </row>
    <row r="1050" spans="1:28" s="264" customFormat="1" ht="20.399999999999999">
      <c r="A1050" s="207"/>
      <c r="B1050" s="208"/>
      <c r="C1050" s="212"/>
      <c r="D1050" s="270"/>
      <c r="E1050" s="208"/>
      <c r="F1050" s="208"/>
      <c r="G1050" s="208"/>
      <c r="H1050" s="209"/>
      <c r="I1050" s="210"/>
      <c r="J1050" s="210"/>
      <c r="K1050" s="260"/>
      <c r="L1050" s="260"/>
      <c r="M1050" s="260"/>
      <c r="N1050" s="260"/>
      <c r="O1050" s="260"/>
      <c r="P1050" s="211"/>
      <c r="Q1050" s="261"/>
      <c r="R1050" s="208" t="str">
        <f ca="1">IF(ISERROR($V1050),"",OFFSET('Smelter Look-up'!$C$4,$V1050-4,0)&amp;"")</f>
        <v/>
      </c>
      <c r="S1050" s="215" t="str">
        <f t="shared" ca="1" si="147"/>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si="148"/>
        <v>0</v>
      </c>
      <c r="Y1050" s="263"/>
      <c r="Z1050" s="263"/>
      <c r="AB1050" s="265" t="str">
        <f t="shared" si="149"/>
        <v/>
      </c>
    </row>
    <row r="1051" spans="1:28" s="264" customFormat="1" ht="20.399999999999999">
      <c r="A1051" s="207"/>
      <c r="B1051" s="208"/>
      <c r="C1051" s="212"/>
      <c r="D1051" s="270"/>
      <c r="E1051" s="208"/>
      <c r="F1051" s="208"/>
      <c r="G1051" s="208"/>
      <c r="H1051" s="209"/>
      <c r="I1051" s="210"/>
      <c r="J1051" s="210"/>
      <c r="K1051" s="260"/>
      <c r="L1051" s="260"/>
      <c r="M1051" s="260"/>
      <c r="N1051" s="260"/>
      <c r="O1051" s="260"/>
      <c r="P1051" s="211"/>
      <c r="Q1051" s="261"/>
      <c r="R1051" s="208" t="str">
        <f ca="1">IF(ISERROR($V1051),"",OFFSET('Smelter Look-up'!$C$4,$V1051-4,0)&amp;"")</f>
        <v/>
      </c>
      <c r="S1051" s="215" t="str">
        <f t="shared" ca="1" si="147"/>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si="148"/>
        <v>0</v>
      </c>
      <c r="Y1051" s="263"/>
      <c r="Z1051" s="263"/>
      <c r="AB1051" s="265" t="str">
        <f t="shared" si="149"/>
        <v/>
      </c>
    </row>
    <row r="1052" spans="1:28" s="264" customFormat="1" ht="20.399999999999999">
      <c r="A1052" s="207"/>
      <c r="B1052" s="208"/>
      <c r="C1052" s="212"/>
      <c r="D1052" s="270"/>
      <c r="E1052" s="208"/>
      <c r="F1052" s="208"/>
      <c r="G1052" s="208"/>
      <c r="H1052" s="209"/>
      <c r="I1052" s="210"/>
      <c r="J1052" s="210"/>
      <c r="K1052" s="260"/>
      <c r="L1052" s="260"/>
      <c r="M1052" s="260"/>
      <c r="N1052" s="260"/>
      <c r="O1052" s="260"/>
      <c r="P1052" s="211"/>
      <c r="Q1052" s="261"/>
      <c r="R1052" s="208" t="str">
        <f ca="1">IF(ISERROR($V1052),"",OFFSET('Smelter Look-up'!$C$4,$V1052-4,0)&amp;"")</f>
        <v/>
      </c>
      <c r="S1052" s="215" t="str">
        <f t="shared" ref="S1052:S1082" ca="1" si="150">IF(B1052="","",IF(ISERROR(MATCH($E1052,CL,0)),"Unknown",INDIRECT("'C'!$A$"&amp;MATCH($E1052,CL,0)+1)))</f>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ref="X1052:X1082" si="151">IF(AND(C1052="Smelter not listed",OR(LEN(D1052)=0,LEN(E1052)=0)),1,0)</f>
        <v>0</v>
      </c>
      <c r="Y1052" s="263"/>
      <c r="Z1052" s="263"/>
      <c r="AB1052" s="265" t="str">
        <f t="shared" ref="AB1052:AB1082" si="152">B1052&amp;C1052</f>
        <v/>
      </c>
    </row>
    <row r="1053" spans="1:28" s="264" customFormat="1" ht="20.399999999999999">
      <c r="A1053" s="207"/>
      <c r="B1053" s="208"/>
      <c r="C1053" s="212"/>
      <c r="D1053" s="270"/>
      <c r="E1053" s="208"/>
      <c r="F1053" s="208"/>
      <c r="G1053" s="208"/>
      <c r="H1053" s="209"/>
      <c r="I1053" s="210"/>
      <c r="J1053" s="210"/>
      <c r="K1053" s="260"/>
      <c r="L1053" s="260"/>
      <c r="M1053" s="260"/>
      <c r="N1053" s="260"/>
      <c r="O1053" s="260"/>
      <c r="P1053" s="211"/>
      <c r="Q1053" s="261"/>
      <c r="R1053" s="208" t="str">
        <f ca="1">IF(ISERROR($V1053),"",OFFSET('Smelter Look-up'!$C$4,$V1053-4,0)&amp;"")</f>
        <v/>
      </c>
      <c r="S1053" s="215" t="str">
        <f t="shared" ca="1" si="150"/>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si="151"/>
        <v>0</v>
      </c>
      <c r="Y1053" s="263"/>
      <c r="Z1053" s="263"/>
      <c r="AB1053" s="265" t="str">
        <f t="shared" si="152"/>
        <v/>
      </c>
    </row>
    <row r="1054" spans="1:28" s="264" customFormat="1" ht="20.399999999999999">
      <c r="A1054" s="207"/>
      <c r="B1054" s="208"/>
      <c r="C1054" s="212"/>
      <c r="D1054" s="270"/>
      <c r="E1054" s="208"/>
      <c r="F1054" s="208"/>
      <c r="G1054" s="208"/>
      <c r="H1054" s="209"/>
      <c r="I1054" s="210"/>
      <c r="J1054" s="210"/>
      <c r="K1054" s="260"/>
      <c r="L1054" s="260"/>
      <c r="M1054" s="260"/>
      <c r="N1054" s="260"/>
      <c r="O1054" s="260"/>
      <c r="P1054" s="211"/>
      <c r="Q1054" s="261"/>
      <c r="R1054" s="208" t="str">
        <f ca="1">IF(ISERROR($V1054),"",OFFSET('Smelter Look-up'!$C$4,$V1054-4,0)&amp;"")</f>
        <v/>
      </c>
      <c r="S1054" s="215" t="str">
        <f t="shared" ca="1" si="150"/>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si="151"/>
        <v>0</v>
      </c>
      <c r="Y1054" s="263"/>
      <c r="Z1054" s="263"/>
      <c r="AB1054" s="265" t="str">
        <f t="shared" si="152"/>
        <v/>
      </c>
    </row>
    <row r="1055" spans="1:28" s="264" customFormat="1" ht="20.399999999999999">
      <c r="A1055" s="207"/>
      <c r="B1055" s="208"/>
      <c r="C1055" s="212"/>
      <c r="D1055" s="270"/>
      <c r="E1055" s="208"/>
      <c r="F1055" s="208"/>
      <c r="G1055" s="208"/>
      <c r="H1055" s="209"/>
      <c r="I1055" s="210"/>
      <c r="J1055" s="210"/>
      <c r="K1055" s="260"/>
      <c r="L1055" s="260"/>
      <c r="M1055" s="260"/>
      <c r="N1055" s="260"/>
      <c r="O1055" s="260"/>
      <c r="P1055" s="211"/>
      <c r="Q1055" s="261"/>
      <c r="R1055" s="208" t="str">
        <f ca="1">IF(ISERROR($V1055),"",OFFSET('Smelter Look-up'!$C$4,$V1055-4,0)&amp;"")</f>
        <v/>
      </c>
      <c r="S1055" s="215" t="str">
        <f t="shared" ca="1" si="150"/>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si="151"/>
        <v>0</v>
      </c>
      <c r="Y1055" s="263"/>
      <c r="Z1055" s="263"/>
      <c r="AB1055" s="265" t="str">
        <f t="shared" si="152"/>
        <v/>
      </c>
    </row>
    <row r="1056" spans="1:28" s="264" customFormat="1" ht="20.399999999999999">
      <c r="A1056" s="207"/>
      <c r="B1056" s="208"/>
      <c r="C1056" s="212"/>
      <c r="D1056" s="270"/>
      <c r="E1056" s="208"/>
      <c r="F1056" s="208"/>
      <c r="G1056" s="208"/>
      <c r="H1056" s="209"/>
      <c r="I1056" s="210"/>
      <c r="J1056" s="210"/>
      <c r="K1056" s="260"/>
      <c r="L1056" s="260"/>
      <c r="M1056" s="260"/>
      <c r="N1056" s="260"/>
      <c r="O1056" s="260"/>
      <c r="P1056" s="211"/>
      <c r="Q1056" s="261"/>
      <c r="R1056" s="208" t="str">
        <f ca="1">IF(ISERROR($V1056),"",OFFSET('Smelter Look-up'!$C$4,$V1056-4,0)&amp;"")</f>
        <v/>
      </c>
      <c r="S1056" s="215" t="str">
        <f t="shared" ca="1" si="150"/>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si="151"/>
        <v>0</v>
      </c>
      <c r="Y1056" s="263"/>
      <c r="Z1056" s="263"/>
      <c r="AB1056" s="265" t="str">
        <f t="shared" si="152"/>
        <v/>
      </c>
    </row>
    <row r="1057" spans="1:28" s="264" customFormat="1" ht="20.399999999999999">
      <c r="A1057" s="207"/>
      <c r="B1057" s="208"/>
      <c r="C1057" s="212"/>
      <c r="D1057" s="270"/>
      <c r="E1057" s="208"/>
      <c r="F1057" s="208"/>
      <c r="G1057" s="208"/>
      <c r="H1057" s="209"/>
      <c r="I1057" s="210"/>
      <c r="J1057" s="210"/>
      <c r="K1057" s="260"/>
      <c r="L1057" s="260"/>
      <c r="M1057" s="260"/>
      <c r="N1057" s="260"/>
      <c r="O1057" s="260"/>
      <c r="P1057" s="211"/>
      <c r="Q1057" s="261"/>
      <c r="R1057" s="208" t="str">
        <f ca="1">IF(ISERROR($V1057),"",OFFSET('Smelter Look-up'!$C$4,$V1057-4,0)&amp;"")</f>
        <v/>
      </c>
      <c r="S1057" s="215" t="str">
        <f t="shared" ca="1" si="150"/>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si="151"/>
        <v>0</v>
      </c>
      <c r="Y1057" s="263"/>
      <c r="Z1057" s="263"/>
      <c r="AB1057" s="265" t="str">
        <f t="shared" si="152"/>
        <v/>
      </c>
    </row>
    <row r="1058" spans="1:28" s="264" customFormat="1" ht="20.399999999999999">
      <c r="A1058" s="207"/>
      <c r="B1058" s="208"/>
      <c r="C1058" s="212"/>
      <c r="D1058" s="270"/>
      <c r="E1058" s="208"/>
      <c r="F1058" s="208"/>
      <c r="G1058" s="208"/>
      <c r="H1058" s="209"/>
      <c r="I1058" s="210"/>
      <c r="J1058" s="210"/>
      <c r="K1058" s="260"/>
      <c r="L1058" s="260"/>
      <c r="M1058" s="260"/>
      <c r="N1058" s="260"/>
      <c r="O1058" s="260"/>
      <c r="P1058" s="211"/>
      <c r="Q1058" s="261"/>
      <c r="R1058" s="208" t="str">
        <f ca="1">IF(ISERROR($V1058),"",OFFSET('Smelter Look-up'!$C$4,$V1058-4,0)&amp;"")</f>
        <v/>
      </c>
      <c r="S1058" s="215" t="str">
        <f t="shared" ca="1" si="150"/>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si="151"/>
        <v>0</v>
      </c>
      <c r="Y1058" s="263"/>
      <c r="Z1058" s="263"/>
      <c r="AB1058" s="265" t="str">
        <f t="shared" si="152"/>
        <v/>
      </c>
    </row>
    <row r="1059" spans="1:28" s="264" customFormat="1" ht="20.399999999999999">
      <c r="A1059" s="207"/>
      <c r="B1059" s="208"/>
      <c r="C1059" s="212"/>
      <c r="D1059" s="270"/>
      <c r="E1059" s="208"/>
      <c r="F1059" s="208"/>
      <c r="G1059" s="208"/>
      <c r="H1059" s="209"/>
      <c r="I1059" s="210"/>
      <c r="J1059" s="210"/>
      <c r="K1059" s="260"/>
      <c r="L1059" s="260"/>
      <c r="M1059" s="260"/>
      <c r="N1059" s="260"/>
      <c r="O1059" s="260"/>
      <c r="P1059" s="211"/>
      <c r="Q1059" s="261"/>
      <c r="R1059" s="208" t="str">
        <f ca="1">IF(ISERROR($V1059),"",OFFSET('Smelter Look-up'!$C$4,$V1059-4,0)&amp;"")</f>
        <v/>
      </c>
      <c r="S1059" s="215" t="str">
        <f t="shared" ca="1" si="150"/>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si="151"/>
        <v>0</v>
      </c>
      <c r="Y1059" s="263"/>
      <c r="Z1059" s="263"/>
      <c r="AB1059" s="265" t="str">
        <f t="shared" si="152"/>
        <v/>
      </c>
    </row>
    <row r="1060" spans="1:28" s="264" customFormat="1" ht="20.399999999999999">
      <c r="A1060" s="207"/>
      <c r="B1060" s="208"/>
      <c r="C1060" s="212"/>
      <c r="D1060" s="270"/>
      <c r="E1060" s="208"/>
      <c r="F1060" s="208"/>
      <c r="G1060" s="208"/>
      <c r="H1060" s="209"/>
      <c r="I1060" s="210"/>
      <c r="J1060" s="210"/>
      <c r="K1060" s="260"/>
      <c r="L1060" s="260"/>
      <c r="M1060" s="260"/>
      <c r="N1060" s="260"/>
      <c r="O1060" s="260"/>
      <c r="P1060" s="211"/>
      <c r="Q1060" s="261"/>
      <c r="R1060" s="208" t="str">
        <f ca="1">IF(ISERROR($V1060),"",OFFSET('Smelter Look-up'!$C$4,$V1060-4,0)&amp;"")</f>
        <v/>
      </c>
      <c r="S1060" s="215" t="str">
        <f t="shared" ca="1" si="150"/>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si="151"/>
        <v>0</v>
      </c>
      <c r="Y1060" s="263"/>
      <c r="Z1060" s="263"/>
      <c r="AB1060" s="265" t="str">
        <f t="shared" si="152"/>
        <v/>
      </c>
    </row>
    <row r="1061" spans="1:28" s="264" customFormat="1" ht="20.399999999999999">
      <c r="A1061" s="207"/>
      <c r="B1061" s="208"/>
      <c r="C1061" s="212"/>
      <c r="D1061" s="270"/>
      <c r="E1061" s="208"/>
      <c r="F1061" s="208"/>
      <c r="G1061" s="208"/>
      <c r="H1061" s="209"/>
      <c r="I1061" s="210"/>
      <c r="J1061" s="210"/>
      <c r="K1061" s="260"/>
      <c r="L1061" s="260"/>
      <c r="M1061" s="260"/>
      <c r="N1061" s="260"/>
      <c r="O1061" s="260"/>
      <c r="P1061" s="211"/>
      <c r="Q1061" s="261"/>
      <c r="R1061" s="208" t="str">
        <f ca="1">IF(ISERROR($V1061),"",OFFSET('Smelter Look-up'!$C$4,$V1061-4,0)&amp;"")</f>
        <v/>
      </c>
      <c r="S1061" s="215" t="str">
        <f t="shared" ca="1" si="150"/>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si="151"/>
        <v>0</v>
      </c>
      <c r="Y1061" s="263"/>
      <c r="Z1061" s="263"/>
      <c r="AB1061" s="265" t="str">
        <f t="shared" si="152"/>
        <v/>
      </c>
    </row>
    <row r="1062" spans="1:28" s="264" customFormat="1" ht="20.399999999999999">
      <c r="A1062" s="207"/>
      <c r="B1062" s="208"/>
      <c r="C1062" s="212"/>
      <c r="D1062" s="270"/>
      <c r="E1062" s="208"/>
      <c r="F1062" s="208"/>
      <c r="G1062" s="208"/>
      <c r="H1062" s="209"/>
      <c r="I1062" s="210"/>
      <c r="J1062" s="210"/>
      <c r="K1062" s="260"/>
      <c r="L1062" s="260"/>
      <c r="M1062" s="260"/>
      <c r="N1062" s="260"/>
      <c r="O1062" s="260"/>
      <c r="P1062" s="211"/>
      <c r="Q1062" s="261"/>
      <c r="R1062" s="208" t="str">
        <f ca="1">IF(ISERROR($V1062),"",OFFSET('Smelter Look-up'!$C$4,$V1062-4,0)&amp;"")</f>
        <v/>
      </c>
      <c r="S1062" s="215" t="str">
        <f t="shared" ca="1" si="150"/>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si="151"/>
        <v>0</v>
      </c>
      <c r="Y1062" s="263"/>
      <c r="Z1062" s="263"/>
      <c r="AB1062" s="265" t="str">
        <f t="shared" si="152"/>
        <v/>
      </c>
    </row>
    <row r="1063" spans="1:28" s="264" customFormat="1" ht="20.399999999999999">
      <c r="A1063" s="207"/>
      <c r="B1063" s="208"/>
      <c r="C1063" s="212"/>
      <c r="D1063" s="270"/>
      <c r="E1063" s="208"/>
      <c r="F1063" s="208"/>
      <c r="G1063" s="208"/>
      <c r="H1063" s="209"/>
      <c r="I1063" s="210"/>
      <c r="J1063" s="210"/>
      <c r="K1063" s="260"/>
      <c r="L1063" s="260"/>
      <c r="M1063" s="260"/>
      <c r="N1063" s="260"/>
      <c r="O1063" s="260"/>
      <c r="P1063" s="211"/>
      <c r="Q1063" s="261"/>
      <c r="R1063" s="208" t="str">
        <f ca="1">IF(ISERROR($V1063),"",OFFSET('Smelter Look-up'!$C$4,$V1063-4,0)&amp;"")</f>
        <v/>
      </c>
      <c r="S1063" s="215" t="str">
        <f t="shared" ca="1" si="150"/>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si="151"/>
        <v>0</v>
      </c>
      <c r="Y1063" s="263"/>
      <c r="Z1063" s="263"/>
      <c r="AB1063" s="265" t="str">
        <f t="shared" si="152"/>
        <v/>
      </c>
    </row>
    <row r="1064" spans="1:28" s="264" customFormat="1" ht="20.399999999999999">
      <c r="A1064" s="207"/>
      <c r="B1064" s="208"/>
      <c r="C1064" s="212"/>
      <c r="D1064" s="270"/>
      <c r="E1064" s="208"/>
      <c r="F1064" s="208"/>
      <c r="G1064" s="208"/>
      <c r="H1064" s="209"/>
      <c r="I1064" s="210"/>
      <c r="J1064" s="210"/>
      <c r="K1064" s="260"/>
      <c r="L1064" s="260"/>
      <c r="M1064" s="260"/>
      <c r="N1064" s="260"/>
      <c r="O1064" s="260"/>
      <c r="P1064" s="211"/>
      <c r="Q1064" s="261"/>
      <c r="R1064" s="208" t="str">
        <f ca="1">IF(ISERROR($V1064),"",OFFSET('Smelter Look-up'!$C$4,$V1064-4,0)&amp;"")</f>
        <v/>
      </c>
      <c r="S1064" s="215" t="str">
        <f t="shared" ca="1" si="150"/>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si="151"/>
        <v>0</v>
      </c>
      <c r="Y1064" s="263"/>
      <c r="Z1064" s="263"/>
      <c r="AB1064" s="265" t="str">
        <f t="shared" si="152"/>
        <v/>
      </c>
    </row>
    <row r="1065" spans="1:28" s="264" customFormat="1" ht="20.399999999999999">
      <c r="A1065" s="207"/>
      <c r="B1065" s="208"/>
      <c r="C1065" s="212"/>
      <c r="D1065" s="270"/>
      <c r="E1065" s="208"/>
      <c r="F1065" s="208"/>
      <c r="G1065" s="208"/>
      <c r="H1065" s="209"/>
      <c r="I1065" s="210"/>
      <c r="J1065" s="210"/>
      <c r="K1065" s="260"/>
      <c r="L1065" s="260"/>
      <c r="M1065" s="260"/>
      <c r="N1065" s="260"/>
      <c r="O1065" s="260"/>
      <c r="P1065" s="211"/>
      <c r="Q1065" s="261"/>
      <c r="R1065" s="208" t="str">
        <f ca="1">IF(ISERROR($V1065),"",OFFSET('Smelter Look-up'!$C$4,$V1065-4,0)&amp;"")</f>
        <v/>
      </c>
      <c r="S1065" s="215" t="str">
        <f t="shared" ca="1" si="150"/>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si="151"/>
        <v>0</v>
      </c>
      <c r="Y1065" s="263"/>
      <c r="Z1065" s="263"/>
      <c r="AB1065" s="265" t="str">
        <f t="shared" si="152"/>
        <v/>
      </c>
    </row>
    <row r="1066" spans="1:28" s="264" customFormat="1" ht="20.399999999999999">
      <c r="A1066" s="207"/>
      <c r="B1066" s="208"/>
      <c r="C1066" s="212"/>
      <c r="D1066" s="270"/>
      <c r="E1066" s="208"/>
      <c r="F1066" s="208"/>
      <c r="G1066" s="208"/>
      <c r="H1066" s="209"/>
      <c r="I1066" s="210"/>
      <c r="J1066" s="210"/>
      <c r="K1066" s="260"/>
      <c r="L1066" s="260"/>
      <c r="M1066" s="260"/>
      <c r="N1066" s="260"/>
      <c r="O1066" s="260"/>
      <c r="P1066" s="211"/>
      <c r="Q1066" s="261"/>
      <c r="R1066" s="208" t="str">
        <f ca="1">IF(ISERROR($V1066),"",OFFSET('Smelter Look-up'!$C$4,$V1066-4,0)&amp;"")</f>
        <v/>
      </c>
      <c r="S1066" s="215" t="str">
        <f t="shared" ca="1" si="150"/>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si="151"/>
        <v>0</v>
      </c>
      <c r="Y1066" s="263"/>
      <c r="Z1066" s="263"/>
      <c r="AB1066" s="265" t="str">
        <f t="shared" si="152"/>
        <v/>
      </c>
    </row>
    <row r="1067" spans="1:28" s="264" customFormat="1" ht="20.399999999999999">
      <c r="A1067" s="207"/>
      <c r="B1067" s="208"/>
      <c r="C1067" s="212"/>
      <c r="D1067" s="270"/>
      <c r="E1067" s="208"/>
      <c r="F1067" s="208"/>
      <c r="G1067" s="208"/>
      <c r="H1067" s="209"/>
      <c r="I1067" s="210"/>
      <c r="J1067" s="210"/>
      <c r="K1067" s="260"/>
      <c r="L1067" s="260"/>
      <c r="M1067" s="260"/>
      <c r="N1067" s="260"/>
      <c r="O1067" s="260"/>
      <c r="P1067" s="211"/>
      <c r="Q1067" s="261"/>
      <c r="R1067" s="208" t="str">
        <f ca="1">IF(ISERROR($V1067),"",OFFSET('Smelter Look-up'!$C$4,$V1067-4,0)&amp;"")</f>
        <v/>
      </c>
      <c r="S1067" s="215" t="str">
        <f t="shared" ca="1" si="150"/>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si="151"/>
        <v>0</v>
      </c>
      <c r="Y1067" s="263"/>
      <c r="Z1067" s="263"/>
      <c r="AB1067" s="265" t="str">
        <f t="shared" si="152"/>
        <v/>
      </c>
    </row>
    <row r="1068" spans="1:28" s="264" customFormat="1" ht="20.399999999999999">
      <c r="A1068" s="207"/>
      <c r="B1068" s="208"/>
      <c r="C1068" s="212"/>
      <c r="D1068" s="270"/>
      <c r="E1068" s="208"/>
      <c r="F1068" s="208"/>
      <c r="G1068" s="208"/>
      <c r="H1068" s="209"/>
      <c r="I1068" s="210"/>
      <c r="J1068" s="210"/>
      <c r="K1068" s="260"/>
      <c r="L1068" s="260"/>
      <c r="M1068" s="260"/>
      <c r="N1068" s="260"/>
      <c r="O1068" s="260"/>
      <c r="P1068" s="211"/>
      <c r="Q1068" s="261"/>
      <c r="R1068" s="208" t="str">
        <f ca="1">IF(ISERROR($V1068),"",OFFSET('Smelter Look-up'!$C$4,$V1068-4,0)&amp;"")</f>
        <v/>
      </c>
      <c r="S1068" s="215" t="str">
        <f t="shared" ca="1" si="150"/>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si="151"/>
        <v>0</v>
      </c>
      <c r="Y1068" s="263"/>
      <c r="Z1068" s="263"/>
      <c r="AB1068" s="265" t="str">
        <f t="shared" si="152"/>
        <v/>
      </c>
    </row>
    <row r="1069" spans="1:28" s="264" customFormat="1" ht="20.399999999999999">
      <c r="A1069" s="207"/>
      <c r="B1069" s="208"/>
      <c r="C1069" s="212"/>
      <c r="D1069" s="270"/>
      <c r="E1069" s="208"/>
      <c r="F1069" s="208"/>
      <c r="G1069" s="208"/>
      <c r="H1069" s="209"/>
      <c r="I1069" s="210"/>
      <c r="J1069" s="210"/>
      <c r="K1069" s="260"/>
      <c r="L1069" s="260"/>
      <c r="M1069" s="260"/>
      <c r="N1069" s="260"/>
      <c r="O1069" s="260"/>
      <c r="P1069" s="211"/>
      <c r="Q1069" s="261"/>
      <c r="R1069" s="208" t="str">
        <f ca="1">IF(ISERROR($V1069),"",OFFSET('Smelter Look-up'!$C$4,$V1069-4,0)&amp;"")</f>
        <v/>
      </c>
      <c r="S1069" s="215" t="str">
        <f t="shared" ca="1" si="150"/>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si="151"/>
        <v>0</v>
      </c>
      <c r="Y1069" s="263"/>
      <c r="Z1069" s="263"/>
      <c r="AB1069" s="265" t="str">
        <f t="shared" si="152"/>
        <v/>
      </c>
    </row>
    <row r="1070" spans="1:28" s="264" customFormat="1" ht="20.399999999999999">
      <c r="A1070" s="207"/>
      <c r="B1070" s="208"/>
      <c r="C1070" s="212"/>
      <c r="D1070" s="270"/>
      <c r="E1070" s="208"/>
      <c r="F1070" s="208"/>
      <c r="G1070" s="208"/>
      <c r="H1070" s="209"/>
      <c r="I1070" s="210"/>
      <c r="J1070" s="210"/>
      <c r="K1070" s="260"/>
      <c r="L1070" s="260"/>
      <c r="M1070" s="260"/>
      <c r="N1070" s="260"/>
      <c r="O1070" s="260"/>
      <c r="P1070" s="211"/>
      <c r="Q1070" s="261"/>
      <c r="R1070" s="208" t="str">
        <f ca="1">IF(ISERROR($V1070),"",OFFSET('Smelter Look-up'!$C$4,$V1070-4,0)&amp;"")</f>
        <v/>
      </c>
      <c r="S1070" s="215" t="str">
        <f t="shared" ca="1" si="150"/>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si="151"/>
        <v>0</v>
      </c>
      <c r="Y1070" s="263"/>
      <c r="Z1070" s="263"/>
      <c r="AB1070" s="265" t="str">
        <f t="shared" si="152"/>
        <v/>
      </c>
    </row>
    <row r="1071" spans="1:28" s="264" customFormat="1" ht="20.399999999999999">
      <c r="A1071" s="207"/>
      <c r="B1071" s="208"/>
      <c r="C1071" s="212"/>
      <c r="D1071" s="270"/>
      <c r="E1071" s="208"/>
      <c r="F1071" s="208"/>
      <c r="G1071" s="208"/>
      <c r="H1071" s="209"/>
      <c r="I1071" s="210"/>
      <c r="J1071" s="210"/>
      <c r="K1071" s="260"/>
      <c r="L1071" s="260"/>
      <c r="M1071" s="260"/>
      <c r="N1071" s="260"/>
      <c r="O1071" s="260"/>
      <c r="P1071" s="211"/>
      <c r="Q1071" s="261"/>
      <c r="R1071" s="208" t="str">
        <f ca="1">IF(ISERROR($V1071),"",OFFSET('Smelter Look-up'!$C$4,$V1071-4,0)&amp;"")</f>
        <v/>
      </c>
      <c r="S1071" s="215" t="str">
        <f t="shared" ca="1" si="150"/>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si="151"/>
        <v>0</v>
      </c>
      <c r="Y1071" s="263"/>
      <c r="Z1071" s="263"/>
      <c r="AB1071" s="265" t="str">
        <f t="shared" si="152"/>
        <v/>
      </c>
    </row>
    <row r="1072" spans="1:28" s="264" customFormat="1" ht="20.399999999999999">
      <c r="A1072" s="207"/>
      <c r="B1072" s="208"/>
      <c r="C1072" s="212"/>
      <c r="D1072" s="270"/>
      <c r="E1072" s="208"/>
      <c r="F1072" s="208"/>
      <c r="G1072" s="208"/>
      <c r="H1072" s="209"/>
      <c r="I1072" s="210"/>
      <c r="J1072" s="210"/>
      <c r="K1072" s="260"/>
      <c r="L1072" s="260"/>
      <c r="M1072" s="260"/>
      <c r="N1072" s="260"/>
      <c r="O1072" s="260"/>
      <c r="P1072" s="211"/>
      <c r="Q1072" s="261"/>
      <c r="R1072" s="208" t="str">
        <f ca="1">IF(ISERROR($V1072),"",OFFSET('Smelter Look-up'!$C$4,$V1072-4,0)&amp;"")</f>
        <v/>
      </c>
      <c r="S1072" s="215" t="str">
        <f t="shared" ca="1" si="150"/>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si="151"/>
        <v>0</v>
      </c>
      <c r="Y1072" s="263"/>
      <c r="Z1072" s="263"/>
      <c r="AB1072" s="265" t="str">
        <f t="shared" si="152"/>
        <v/>
      </c>
    </row>
    <row r="1073" spans="1:28" s="264" customFormat="1" ht="20.399999999999999">
      <c r="A1073" s="207"/>
      <c r="B1073" s="208"/>
      <c r="C1073" s="212"/>
      <c r="D1073" s="270"/>
      <c r="E1073" s="208"/>
      <c r="F1073" s="208"/>
      <c r="G1073" s="208"/>
      <c r="H1073" s="209"/>
      <c r="I1073" s="210"/>
      <c r="J1073" s="210"/>
      <c r="K1073" s="260"/>
      <c r="L1073" s="260"/>
      <c r="M1073" s="260"/>
      <c r="N1073" s="260"/>
      <c r="O1073" s="260"/>
      <c r="P1073" s="211"/>
      <c r="Q1073" s="261"/>
      <c r="R1073" s="208" t="str">
        <f ca="1">IF(ISERROR($V1073),"",OFFSET('Smelter Look-up'!$C$4,$V1073-4,0)&amp;"")</f>
        <v/>
      </c>
      <c r="S1073" s="215" t="str">
        <f t="shared" ca="1" si="150"/>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si="151"/>
        <v>0</v>
      </c>
      <c r="Y1073" s="263"/>
      <c r="Z1073" s="263"/>
      <c r="AB1073" s="265" t="str">
        <f t="shared" si="152"/>
        <v/>
      </c>
    </row>
    <row r="1074" spans="1:28" s="264" customFormat="1" ht="20.399999999999999">
      <c r="A1074" s="207"/>
      <c r="B1074" s="208"/>
      <c r="C1074" s="212"/>
      <c r="D1074" s="270"/>
      <c r="E1074" s="208"/>
      <c r="F1074" s="208"/>
      <c r="G1074" s="208"/>
      <c r="H1074" s="209"/>
      <c r="I1074" s="210"/>
      <c r="J1074" s="210"/>
      <c r="K1074" s="260"/>
      <c r="L1074" s="260"/>
      <c r="M1074" s="260"/>
      <c r="N1074" s="260"/>
      <c r="O1074" s="260"/>
      <c r="P1074" s="211"/>
      <c r="Q1074" s="261"/>
      <c r="R1074" s="208" t="str">
        <f ca="1">IF(ISERROR($V1074),"",OFFSET('Smelter Look-up'!$C$4,$V1074-4,0)&amp;"")</f>
        <v/>
      </c>
      <c r="S1074" s="215" t="str">
        <f t="shared" ca="1" si="150"/>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si="151"/>
        <v>0</v>
      </c>
      <c r="Y1074" s="263"/>
      <c r="Z1074" s="263"/>
      <c r="AB1074" s="265" t="str">
        <f t="shared" si="152"/>
        <v/>
      </c>
    </row>
    <row r="1075" spans="1:28" s="264" customFormat="1" ht="20.399999999999999">
      <c r="A1075" s="207"/>
      <c r="B1075" s="208"/>
      <c r="C1075" s="212"/>
      <c r="D1075" s="270"/>
      <c r="E1075" s="208"/>
      <c r="F1075" s="208"/>
      <c r="G1075" s="208"/>
      <c r="H1075" s="209"/>
      <c r="I1075" s="210"/>
      <c r="J1075" s="210"/>
      <c r="K1075" s="260"/>
      <c r="L1075" s="260"/>
      <c r="M1075" s="260"/>
      <c r="N1075" s="260"/>
      <c r="O1075" s="260"/>
      <c r="P1075" s="211"/>
      <c r="Q1075" s="261"/>
      <c r="R1075" s="208" t="str">
        <f ca="1">IF(ISERROR($V1075),"",OFFSET('Smelter Look-up'!$C$4,$V1075-4,0)&amp;"")</f>
        <v/>
      </c>
      <c r="S1075" s="215" t="str">
        <f t="shared" ca="1" si="150"/>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si="151"/>
        <v>0</v>
      </c>
      <c r="Y1075" s="263"/>
      <c r="Z1075" s="263"/>
      <c r="AB1075" s="265" t="str">
        <f t="shared" si="152"/>
        <v/>
      </c>
    </row>
    <row r="1076" spans="1:28" s="264" customFormat="1" ht="20.399999999999999">
      <c r="A1076" s="207"/>
      <c r="B1076" s="208"/>
      <c r="C1076" s="212"/>
      <c r="D1076" s="270"/>
      <c r="E1076" s="208"/>
      <c r="F1076" s="208"/>
      <c r="G1076" s="208"/>
      <c r="H1076" s="209"/>
      <c r="I1076" s="210"/>
      <c r="J1076" s="210"/>
      <c r="K1076" s="260"/>
      <c r="L1076" s="260"/>
      <c r="M1076" s="260"/>
      <c r="N1076" s="260"/>
      <c r="O1076" s="260"/>
      <c r="P1076" s="211"/>
      <c r="Q1076" s="261"/>
      <c r="R1076" s="208" t="str">
        <f ca="1">IF(ISERROR($V1076),"",OFFSET('Smelter Look-up'!$C$4,$V1076-4,0)&amp;"")</f>
        <v/>
      </c>
      <c r="S1076" s="215" t="str">
        <f t="shared" ca="1" si="150"/>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si="151"/>
        <v>0</v>
      </c>
      <c r="Y1076" s="263"/>
      <c r="Z1076" s="263"/>
      <c r="AB1076" s="265" t="str">
        <f t="shared" si="152"/>
        <v/>
      </c>
    </row>
    <row r="1077" spans="1:28" s="264" customFormat="1" ht="20.399999999999999">
      <c r="A1077" s="207"/>
      <c r="B1077" s="208"/>
      <c r="C1077" s="212"/>
      <c r="D1077" s="270"/>
      <c r="E1077" s="208"/>
      <c r="F1077" s="208"/>
      <c r="G1077" s="208"/>
      <c r="H1077" s="209"/>
      <c r="I1077" s="210"/>
      <c r="J1077" s="210"/>
      <c r="K1077" s="260"/>
      <c r="L1077" s="260"/>
      <c r="M1077" s="260"/>
      <c r="N1077" s="260"/>
      <c r="O1077" s="260"/>
      <c r="P1077" s="211"/>
      <c r="Q1077" s="261"/>
      <c r="R1077" s="208" t="str">
        <f ca="1">IF(ISERROR($V1077),"",OFFSET('Smelter Look-up'!$C$4,$V1077-4,0)&amp;"")</f>
        <v/>
      </c>
      <c r="S1077" s="215" t="str">
        <f t="shared" ca="1" si="150"/>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si="151"/>
        <v>0</v>
      </c>
      <c r="Y1077" s="263"/>
      <c r="Z1077" s="263"/>
      <c r="AB1077" s="265" t="str">
        <f t="shared" si="152"/>
        <v/>
      </c>
    </row>
    <row r="1078" spans="1:28" s="264" customFormat="1" ht="20.399999999999999">
      <c r="A1078" s="207"/>
      <c r="B1078" s="208"/>
      <c r="C1078" s="212"/>
      <c r="D1078" s="270"/>
      <c r="E1078" s="208"/>
      <c r="F1078" s="208"/>
      <c r="G1078" s="208"/>
      <c r="H1078" s="209"/>
      <c r="I1078" s="210"/>
      <c r="J1078" s="210"/>
      <c r="K1078" s="260"/>
      <c r="L1078" s="260"/>
      <c r="M1078" s="260"/>
      <c r="N1078" s="260"/>
      <c r="O1078" s="260"/>
      <c r="P1078" s="211"/>
      <c r="Q1078" s="261"/>
      <c r="R1078" s="208" t="str">
        <f ca="1">IF(ISERROR($V1078),"",OFFSET('Smelter Look-up'!$C$4,$V1078-4,0)&amp;"")</f>
        <v/>
      </c>
      <c r="S1078" s="215" t="str">
        <f t="shared" ca="1" si="150"/>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si="151"/>
        <v>0</v>
      </c>
      <c r="Y1078" s="263"/>
      <c r="Z1078" s="263"/>
      <c r="AB1078" s="265" t="str">
        <f t="shared" si="152"/>
        <v/>
      </c>
    </row>
    <row r="1079" spans="1:28" s="264" customFormat="1" ht="20.399999999999999">
      <c r="A1079" s="207"/>
      <c r="B1079" s="208"/>
      <c r="C1079" s="212"/>
      <c r="D1079" s="270"/>
      <c r="E1079" s="208"/>
      <c r="F1079" s="208"/>
      <c r="G1079" s="208"/>
      <c r="H1079" s="209"/>
      <c r="I1079" s="210"/>
      <c r="J1079" s="210"/>
      <c r="K1079" s="260"/>
      <c r="L1079" s="260"/>
      <c r="M1079" s="260"/>
      <c r="N1079" s="260"/>
      <c r="O1079" s="260"/>
      <c r="P1079" s="211"/>
      <c r="Q1079" s="261"/>
      <c r="R1079" s="208" t="str">
        <f ca="1">IF(ISERROR($V1079),"",OFFSET('Smelter Look-up'!$C$4,$V1079-4,0)&amp;"")</f>
        <v/>
      </c>
      <c r="S1079" s="215" t="str">
        <f t="shared" ca="1" si="150"/>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si="151"/>
        <v>0</v>
      </c>
      <c r="Y1079" s="263"/>
      <c r="Z1079" s="263"/>
      <c r="AB1079" s="265" t="str">
        <f t="shared" si="152"/>
        <v/>
      </c>
    </row>
    <row r="1080" spans="1:28" s="264" customFormat="1" ht="20.399999999999999">
      <c r="A1080" s="207"/>
      <c r="B1080" s="208"/>
      <c r="C1080" s="212"/>
      <c r="D1080" s="270"/>
      <c r="E1080" s="208"/>
      <c r="F1080" s="208"/>
      <c r="G1080" s="208"/>
      <c r="H1080" s="209"/>
      <c r="I1080" s="210"/>
      <c r="J1080" s="210"/>
      <c r="K1080" s="260"/>
      <c r="L1080" s="260"/>
      <c r="M1080" s="260"/>
      <c r="N1080" s="260"/>
      <c r="O1080" s="260"/>
      <c r="P1080" s="211"/>
      <c r="Q1080" s="261"/>
      <c r="R1080" s="208" t="str">
        <f ca="1">IF(ISERROR($V1080),"",OFFSET('Smelter Look-up'!$C$4,$V1080-4,0)&amp;"")</f>
        <v/>
      </c>
      <c r="S1080" s="215" t="str">
        <f t="shared" ca="1" si="150"/>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si="151"/>
        <v>0</v>
      </c>
      <c r="Y1080" s="263"/>
      <c r="Z1080" s="263"/>
      <c r="AB1080" s="265" t="str">
        <f t="shared" si="152"/>
        <v/>
      </c>
    </row>
    <row r="1081" spans="1:28" s="264" customFormat="1" ht="20.399999999999999">
      <c r="A1081" s="207"/>
      <c r="B1081" s="208"/>
      <c r="C1081" s="212"/>
      <c r="D1081" s="270"/>
      <c r="E1081" s="208"/>
      <c r="F1081" s="208"/>
      <c r="G1081" s="208"/>
      <c r="H1081" s="209"/>
      <c r="I1081" s="210"/>
      <c r="J1081" s="210"/>
      <c r="K1081" s="260"/>
      <c r="L1081" s="260"/>
      <c r="M1081" s="260"/>
      <c r="N1081" s="260"/>
      <c r="O1081" s="260"/>
      <c r="P1081" s="211"/>
      <c r="Q1081" s="261"/>
      <c r="R1081" s="208" t="str">
        <f ca="1">IF(ISERROR($V1081),"",OFFSET('Smelter Look-up'!$C$4,$V1081-4,0)&amp;"")</f>
        <v/>
      </c>
      <c r="S1081" s="215" t="str">
        <f t="shared" ca="1" si="150"/>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si="151"/>
        <v>0</v>
      </c>
      <c r="Y1081" s="263"/>
      <c r="Z1081" s="263"/>
      <c r="AB1081" s="265" t="str">
        <f t="shared" si="152"/>
        <v/>
      </c>
    </row>
    <row r="1082" spans="1:28" s="264" customFormat="1" ht="20.399999999999999">
      <c r="A1082" s="207"/>
      <c r="B1082" s="208"/>
      <c r="C1082" s="212"/>
      <c r="D1082" s="270"/>
      <c r="E1082" s="208"/>
      <c r="F1082" s="208"/>
      <c r="G1082" s="208"/>
      <c r="H1082" s="209"/>
      <c r="I1082" s="210"/>
      <c r="J1082" s="210"/>
      <c r="K1082" s="260"/>
      <c r="L1082" s="260"/>
      <c r="M1082" s="260"/>
      <c r="N1082" s="260"/>
      <c r="O1082" s="260"/>
      <c r="P1082" s="211"/>
      <c r="Q1082" s="261"/>
      <c r="R1082" s="208" t="str">
        <f ca="1">IF(ISERROR($V1082),"",OFFSET('Smelter Look-up'!$C$4,$V1082-4,0)&amp;"")</f>
        <v/>
      </c>
      <c r="S1082" s="215" t="str">
        <f t="shared" ca="1" si="150"/>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si="151"/>
        <v>0</v>
      </c>
      <c r="Y1082" s="263"/>
      <c r="Z1082" s="263"/>
      <c r="AB1082" s="265" t="str">
        <f t="shared" si="152"/>
        <v/>
      </c>
    </row>
    <row r="1083" spans="1:28" s="264" customFormat="1" ht="20.399999999999999">
      <c r="A1083" s="207"/>
      <c r="B1083" s="208"/>
      <c r="C1083" s="212"/>
      <c r="D1083" s="270"/>
      <c r="E1083" s="208"/>
      <c r="F1083" s="208"/>
      <c r="G1083" s="208"/>
      <c r="H1083" s="209"/>
      <c r="I1083" s="210"/>
      <c r="J1083" s="210"/>
      <c r="K1083" s="260"/>
      <c r="L1083" s="260"/>
      <c r="M1083" s="260"/>
      <c r="N1083" s="260"/>
      <c r="O1083" s="260"/>
      <c r="P1083" s="211"/>
      <c r="Q1083" s="261"/>
      <c r="R1083" s="208" t="str">
        <f ca="1">IF(ISERROR($V1083),"",OFFSET('Smelter Look-up'!$C$4,$V1083-4,0)&amp;"")</f>
        <v/>
      </c>
      <c r="S1083" s="215" t="str">
        <f t="shared" ref="S1083" ca="1" si="153">IF(B1083="","",IF(ISERROR(MATCH($E1083,CL,0)),"Unknown",INDIRECT("'C'!$A$"&amp;MATCH($E1083,CL,0)+1)))</f>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ref="X1083" si="154">IF(AND(C1083="Smelter not listed",OR(LEN(D1083)=0,LEN(E1083)=0)),1,0)</f>
        <v>0</v>
      </c>
      <c r="Y1083" s="263"/>
      <c r="Z1083" s="263"/>
      <c r="AB1083" s="265" t="str">
        <f t="shared" ref="AB1083" si="155">B1083&amp;C1083</f>
        <v/>
      </c>
    </row>
    <row r="1084" spans="1:28" s="264" customFormat="1" ht="20.399999999999999">
      <c r="A1084" s="207"/>
      <c r="B1084" s="208"/>
      <c r="C1084" s="212"/>
      <c r="D1084" s="270"/>
      <c r="E1084" s="208"/>
      <c r="F1084" s="208"/>
      <c r="G1084" s="208"/>
      <c r="H1084" s="209"/>
      <c r="I1084" s="210"/>
      <c r="J1084" s="210"/>
      <c r="K1084" s="260"/>
      <c r="L1084" s="260"/>
      <c r="M1084" s="260"/>
      <c r="N1084" s="260"/>
      <c r="O1084" s="260"/>
      <c r="P1084" s="211"/>
      <c r="Q1084" s="261"/>
      <c r="R1084" s="208" t="str">
        <f ca="1">IF(ISERROR($V1084),"",OFFSET('Smelter Look-up'!$C$4,$V1084-4,0)&amp;"")</f>
        <v/>
      </c>
      <c r="S1084" s="215" t="str">
        <f t="shared" ref="S1084:S1115" ca="1" si="156">IF(B1084="","",IF(ISERROR(MATCH($E1084,CL,0)),"Unknown",INDIRECT("'C'!$A$"&amp;MATCH($E1084,CL,0)+1)))</f>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ref="X1084:X1115" si="157">IF(AND(C1084="Smelter not listed",OR(LEN(D1084)=0,LEN(E1084)=0)),1,0)</f>
        <v>0</v>
      </c>
      <c r="Y1084" s="263"/>
      <c r="Z1084" s="263"/>
      <c r="AB1084" s="265" t="str">
        <f t="shared" ref="AB1084:AB1115" si="158">B1084&amp;C1084</f>
        <v/>
      </c>
    </row>
    <row r="1085" spans="1:28" s="264" customFormat="1" ht="20.399999999999999">
      <c r="A1085" s="207"/>
      <c r="B1085" s="208"/>
      <c r="C1085" s="212"/>
      <c r="D1085" s="270"/>
      <c r="E1085" s="208"/>
      <c r="F1085" s="208"/>
      <c r="G1085" s="208"/>
      <c r="H1085" s="209"/>
      <c r="I1085" s="210"/>
      <c r="J1085" s="210"/>
      <c r="K1085" s="260"/>
      <c r="L1085" s="260"/>
      <c r="M1085" s="260"/>
      <c r="N1085" s="260"/>
      <c r="O1085" s="260"/>
      <c r="P1085" s="211"/>
      <c r="Q1085" s="261"/>
      <c r="R1085" s="208" t="str">
        <f ca="1">IF(ISERROR($V1085),"",OFFSET('Smelter Look-up'!$C$4,$V1085-4,0)&amp;"")</f>
        <v/>
      </c>
      <c r="S1085" s="215" t="str">
        <f t="shared" ca="1" si="156"/>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si="157"/>
        <v>0</v>
      </c>
      <c r="Y1085" s="263"/>
      <c r="Z1085" s="263"/>
      <c r="AB1085" s="265" t="str">
        <f t="shared" si="158"/>
        <v/>
      </c>
    </row>
    <row r="1086" spans="1:28" s="264" customFormat="1" ht="20.399999999999999">
      <c r="A1086" s="207"/>
      <c r="B1086" s="208"/>
      <c r="C1086" s="212"/>
      <c r="D1086" s="270"/>
      <c r="E1086" s="208"/>
      <c r="F1086" s="208"/>
      <c r="G1086" s="208"/>
      <c r="H1086" s="209"/>
      <c r="I1086" s="210"/>
      <c r="J1086" s="210"/>
      <c r="K1086" s="260"/>
      <c r="L1086" s="260"/>
      <c r="M1086" s="260"/>
      <c r="N1086" s="260"/>
      <c r="O1086" s="260"/>
      <c r="P1086" s="211"/>
      <c r="Q1086" s="261"/>
      <c r="R1086" s="208" t="str">
        <f ca="1">IF(ISERROR($V1086),"",OFFSET('Smelter Look-up'!$C$4,$V1086-4,0)&amp;"")</f>
        <v/>
      </c>
      <c r="S1086" s="215" t="str">
        <f t="shared" ca="1" si="156"/>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si="157"/>
        <v>0</v>
      </c>
      <c r="Y1086" s="263"/>
      <c r="Z1086" s="263"/>
      <c r="AB1086" s="265" t="str">
        <f t="shared" si="158"/>
        <v/>
      </c>
    </row>
    <row r="1087" spans="1:28" s="264" customFormat="1" ht="20.399999999999999">
      <c r="A1087" s="207"/>
      <c r="B1087" s="208"/>
      <c r="C1087" s="212"/>
      <c r="D1087" s="270"/>
      <c r="E1087" s="208"/>
      <c r="F1087" s="208"/>
      <c r="G1087" s="208"/>
      <c r="H1087" s="209"/>
      <c r="I1087" s="210"/>
      <c r="J1087" s="210"/>
      <c r="K1087" s="260"/>
      <c r="L1087" s="260"/>
      <c r="M1087" s="260"/>
      <c r="N1087" s="260"/>
      <c r="O1087" s="260"/>
      <c r="P1087" s="211"/>
      <c r="Q1087" s="261"/>
      <c r="R1087" s="208" t="str">
        <f ca="1">IF(ISERROR($V1087),"",OFFSET('Smelter Look-up'!$C$4,$V1087-4,0)&amp;"")</f>
        <v/>
      </c>
      <c r="S1087" s="215" t="str">
        <f t="shared" ca="1" si="156"/>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si="157"/>
        <v>0</v>
      </c>
      <c r="Y1087" s="263"/>
      <c r="Z1087" s="263"/>
      <c r="AB1087" s="265" t="str">
        <f t="shared" si="158"/>
        <v/>
      </c>
    </row>
    <row r="1088" spans="1:28" s="264" customFormat="1" ht="20.399999999999999">
      <c r="A1088" s="207"/>
      <c r="B1088" s="208"/>
      <c r="C1088" s="212"/>
      <c r="D1088" s="270"/>
      <c r="E1088" s="208"/>
      <c r="F1088" s="208"/>
      <c r="G1088" s="208"/>
      <c r="H1088" s="209"/>
      <c r="I1088" s="210"/>
      <c r="J1088" s="210"/>
      <c r="K1088" s="260"/>
      <c r="L1088" s="260"/>
      <c r="M1088" s="260"/>
      <c r="N1088" s="260"/>
      <c r="O1088" s="260"/>
      <c r="P1088" s="211"/>
      <c r="Q1088" s="261"/>
      <c r="R1088" s="208" t="str">
        <f ca="1">IF(ISERROR($V1088),"",OFFSET('Smelter Look-up'!$C$4,$V1088-4,0)&amp;"")</f>
        <v/>
      </c>
      <c r="S1088" s="215" t="str">
        <f t="shared" ca="1" si="156"/>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si="157"/>
        <v>0</v>
      </c>
      <c r="Y1088" s="263"/>
      <c r="Z1088" s="263"/>
      <c r="AB1088" s="265" t="str">
        <f t="shared" si="158"/>
        <v/>
      </c>
    </row>
    <row r="1089" spans="1:28" s="264" customFormat="1" ht="20.399999999999999">
      <c r="A1089" s="207"/>
      <c r="B1089" s="208"/>
      <c r="C1089" s="212"/>
      <c r="D1089" s="270"/>
      <c r="E1089" s="208"/>
      <c r="F1089" s="208"/>
      <c r="G1089" s="208"/>
      <c r="H1089" s="209"/>
      <c r="I1089" s="210"/>
      <c r="J1089" s="210"/>
      <c r="K1089" s="260"/>
      <c r="L1089" s="260"/>
      <c r="M1089" s="260"/>
      <c r="N1089" s="260"/>
      <c r="O1089" s="260"/>
      <c r="P1089" s="211"/>
      <c r="Q1089" s="261"/>
      <c r="R1089" s="208" t="str">
        <f ca="1">IF(ISERROR($V1089),"",OFFSET('Smelter Look-up'!$C$4,$V1089-4,0)&amp;"")</f>
        <v/>
      </c>
      <c r="S1089" s="215" t="str">
        <f t="shared" ca="1" si="156"/>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si="157"/>
        <v>0</v>
      </c>
      <c r="Y1089" s="263"/>
      <c r="Z1089" s="263"/>
      <c r="AB1089" s="265" t="str">
        <f t="shared" si="158"/>
        <v/>
      </c>
    </row>
    <row r="1090" spans="1:28" s="264" customFormat="1" ht="20.399999999999999">
      <c r="A1090" s="207"/>
      <c r="B1090" s="208"/>
      <c r="C1090" s="212"/>
      <c r="D1090" s="270"/>
      <c r="E1090" s="208"/>
      <c r="F1090" s="208"/>
      <c r="G1090" s="208"/>
      <c r="H1090" s="209"/>
      <c r="I1090" s="210"/>
      <c r="J1090" s="210"/>
      <c r="K1090" s="260"/>
      <c r="L1090" s="260"/>
      <c r="M1090" s="260"/>
      <c r="N1090" s="260"/>
      <c r="O1090" s="260"/>
      <c r="P1090" s="211"/>
      <c r="Q1090" s="261"/>
      <c r="R1090" s="208" t="str">
        <f ca="1">IF(ISERROR($V1090),"",OFFSET('Smelter Look-up'!$C$4,$V1090-4,0)&amp;"")</f>
        <v/>
      </c>
      <c r="S1090" s="215" t="str">
        <f t="shared" ca="1" si="156"/>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si="157"/>
        <v>0</v>
      </c>
      <c r="Y1090" s="263"/>
      <c r="Z1090" s="263"/>
      <c r="AB1090" s="265" t="str">
        <f t="shared" si="158"/>
        <v/>
      </c>
    </row>
    <row r="1091" spans="1:28" s="264" customFormat="1" ht="20.399999999999999">
      <c r="A1091" s="207"/>
      <c r="B1091" s="208"/>
      <c r="C1091" s="212"/>
      <c r="D1091" s="270"/>
      <c r="E1091" s="208"/>
      <c r="F1091" s="208"/>
      <c r="G1091" s="208"/>
      <c r="H1091" s="209"/>
      <c r="I1091" s="210"/>
      <c r="J1091" s="210"/>
      <c r="K1091" s="260"/>
      <c r="L1091" s="260"/>
      <c r="M1091" s="260"/>
      <c r="N1091" s="260"/>
      <c r="O1091" s="260"/>
      <c r="P1091" s="211"/>
      <c r="Q1091" s="261"/>
      <c r="R1091" s="208" t="str">
        <f ca="1">IF(ISERROR($V1091),"",OFFSET('Smelter Look-up'!$C$4,$V1091-4,0)&amp;"")</f>
        <v/>
      </c>
      <c r="S1091" s="215" t="str">
        <f t="shared" ca="1" si="156"/>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si="157"/>
        <v>0</v>
      </c>
      <c r="Y1091" s="263"/>
      <c r="Z1091" s="263"/>
      <c r="AB1091" s="265" t="str">
        <f t="shared" si="158"/>
        <v/>
      </c>
    </row>
    <row r="1092" spans="1:28" s="264" customFormat="1" ht="20.399999999999999">
      <c r="A1092" s="207"/>
      <c r="B1092" s="208"/>
      <c r="C1092" s="212"/>
      <c r="D1092" s="270"/>
      <c r="E1092" s="208"/>
      <c r="F1092" s="208"/>
      <c r="G1092" s="208"/>
      <c r="H1092" s="209"/>
      <c r="I1092" s="210"/>
      <c r="J1092" s="210"/>
      <c r="K1092" s="260"/>
      <c r="L1092" s="260"/>
      <c r="M1092" s="260"/>
      <c r="N1092" s="260"/>
      <c r="O1092" s="260"/>
      <c r="P1092" s="211"/>
      <c r="Q1092" s="261"/>
      <c r="R1092" s="208" t="str">
        <f ca="1">IF(ISERROR($V1092),"",OFFSET('Smelter Look-up'!$C$4,$V1092-4,0)&amp;"")</f>
        <v/>
      </c>
      <c r="S1092" s="215" t="str">
        <f t="shared" ca="1" si="156"/>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si="157"/>
        <v>0</v>
      </c>
      <c r="Y1092" s="263"/>
      <c r="Z1092" s="263"/>
      <c r="AB1092" s="265" t="str">
        <f t="shared" si="158"/>
        <v/>
      </c>
    </row>
    <row r="1093" spans="1:28" s="264" customFormat="1" ht="20.399999999999999">
      <c r="A1093" s="207"/>
      <c r="B1093" s="208"/>
      <c r="C1093" s="212"/>
      <c r="D1093" s="270"/>
      <c r="E1093" s="208"/>
      <c r="F1093" s="208"/>
      <c r="G1093" s="208"/>
      <c r="H1093" s="209"/>
      <c r="I1093" s="210"/>
      <c r="J1093" s="210"/>
      <c r="K1093" s="260"/>
      <c r="L1093" s="260"/>
      <c r="M1093" s="260"/>
      <c r="N1093" s="260"/>
      <c r="O1093" s="260"/>
      <c r="P1093" s="211"/>
      <c r="Q1093" s="261"/>
      <c r="R1093" s="208" t="str">
        <f ca="1">IF(ISERROR($V1093),"",OFFSET('Smelter Look-up'!$C$4,$V1093-4,0)&amp;"")</f>
        <v/>
      </c>
      <c r="S1093" s="215" t="str">
        <f t="shared" ca="1" si="156"/>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si="157"/>
        <v>0</v>
      </c>
      <c r="Y1093" s="263"/>
      <c r="Z1093" s="263"/>
      <c r="AB1093" s="265" t="str">
        <f t="shared" si="158"/>
        <v/>
      </c>
    </row>
    <row r="1094" spans="1:28" s="264" customFormat="1" ht="20.399999999999999">
      <c r="A1094" s="207"/>
      <c r="B1094" s="208"/>
      <c r="C1094" s="212"/>
      <c r="D1094" s="270"/>
      <c r="E1094" s="208"/>
      <c r="F1094" s="208"/>
      <c r="G1094" s="208"/>
      <c r="H1094" s="209"/>
      <c r="I1094" s="210"/>
      <c r="J1094" s="210"/>
      <c r="K1094" s="260"/>
      <c r="L1094" s="260"/>
      <c r="M1094" s="260"/>
      <c r="N1094" s="260"/>
      <c r="O1094" s="260"/>
      <c r="P1094" s="211"/>
      <c r="Q1094" s="261"/>
      <c r="R1094" s="208" t="str">
        <f ca="1">IF(ISERROR($V1094),"",OFFSET('Smelter Look-up'!$C$4,$V1094-4,0)&amp;"")</f>
        <v/>
      </c>
      <c r="S1094" s="215" t="str">
        <f t="shared" ca="1" si="156"/>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si="157"/>
        <v>0</v>
      </c>
      <c r="Y1094" s="263"/>
      <c r="Z1094" s="263"/>
      <c r="AB1094" s="265" t="str">
        <f t="shared" si="158"/>
        <v/>
      </c>
    </row>
    <row r="1095" spans="1:28" s="264" customFormat="1" ht="20.399999999999999">
      <c r="A1095" s="207"/>
      <c r="B1095" s="208"/>
      <c r="C1095" s="212"/>
      <c r="D1095" s="270"/>
      <c r="E1095" s="208"/>
      <c r="F1095" s="208"/>
      <c r="G1095" s="208"/>
      <c r="H1095" s="209"/>
      <c r="I1095" s="210"/>
      <c r="J1095" s="210"/>
      <c r="K1095" s="260"/>
      <c r="L1095" s="260"/>
      <c r="M1095" s="260"/>
      <c r="N1095" s="260"/>
      <c r="O1095" s="260"/>
      <c r="P1095" s="211"/>
      <c r="Q1095" s="261"/>
      <c r="R1095" s="208" t="str">
        <f ca="1">IF(ISERROR($V1095),"",OFFSET('Smelter Look-up'!$C$4,$V1095-4,0)&amp;"")</f>
        <v/>
      </c>
      <c r="S1095" s="215" t="str">
        <f t="shared" ca="1" si="156"/>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si="157"/>
        <v>0</v>
      </c>
      <c r="Y1095" s="263"/>
      <c r="Z1095" s="263"/>
      <c r="AB1095" s="265" t="str">
        <f t="shared" si="158"/>
        <v/>
      </c>
    </row>
    <row r="1096" spans="1:28" s="264" customFormat="1" ht="20.399999999999999">
      <c r="A1096" s="207"/>
      <c r="B1096" s="208"/>
      <c r="C1096" s="212"/>
      <c r="D1096" s="270"/>
      <c r="E1096" s="208"/>
      <c r="F1096" s="208"/>
      <c r="G1096" s="208"/>
      <c r="H1096" s="209"/>
      <c r="I1096" s="210"/>
      <c r="J1096" s="210"/>
      <c r="K1096" s="260"/>
      <c r="L1096" s="260"/>
      <c r="M1096" s="260"/>
      <c r="N1096" s="260"/>
      <c r="O1096" s="260"/>
      <c r="P1096" s="211"/>
      <c r="Q1096" s="261"/>
      <c r="R1096" s="208" t="str">
        <f ca="1">IF(ISERROR($V1096),"",OFFSET('Smelter Look-up'!$C$4,$V1096-4,0)&amp;"")</f>
        <v/>
      </c>
      <c r="S1096" s="215" t="str">
        <f t="shared" ca="1" si="156"/>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si="157"/>
        <v>0</v>
      </c>
      <c r="Y1096" s="263"/>
      <c r="Z1096" s="263"/>
      <c r="AB1096" s="265" t="str">
        <f t="shared" si="158"/>
        <v/>
      </c>
    </row>
    <row r="1097" spans="1:28" s="264" customFormat="1" ht="20.399999999999999">
      <c r="A1097" s="207"/>
      <c r="B1097" s="208"/>
      <c r="C1097" s="212"/>
      <c r="D1097" s="270"/>
      <c r="E1097" s="208"/>
      <c r="F1097" s="208"/>
      <c r="G1097" s="208"/>
      <c r="H1097" s="209"/>
      <c r="I1097" s="210"/>
      <c r="J1097" s="210"/>
      <c r="K1097" s="260"/>
      <c r="L1097" s="260"/>
      <c r="M1097" s="260"/>
      <c r="N1097" s="260"/>
      <c r="O1097" s="260"/>
      <c r="P1097" s="211"/>
      <c r="Q1097" s="261"/>
      <c r="R1097" s="208" t="str">
        <f ca="1">IF(ISERROR($V1097),"",OFFSET('Smelter Look-up'!$C$4,$V1097-4,0)&amp;"")</f>
        <v/>
      </c>
      <c r="S1097" s="215" t="str">
        <f t="shared" ca="1" si="156"/>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si="157"/>
        <v>0</v>
      </c>
      <c r="Y1097" s="263"/>
      <c r="Z1097" s="263"/>
      <c r="AB1097" s="265" t="str">
        <f t="shared" si="158"/>
        <v/>
      </c>
    </row>
    <row r="1098" spans="1:28" s="264" customFormat="1" ht="20.399999999999999">
      <c r="A1098" s="207"/>
      <c r="B1098" s="208"/>
      <c r="C1098" s="212"/>
      <c r="D1098" s="270"/>
      <c r="E1098" s="208"/>
      <c r="F1098" s="208"/>
      <c r="G1098" s="208"/>
      <c r="H1098" s="209"/>
      <c r="I1098" s="210"/>
      <c r="J1098" s="210"/>
      <c r="K1098" s="260"/>
      <c r="L1098" s="260"/>
      <c r="M1098" s="260"/>
      <c r="N1098" s="260"/>
      <c r="O1098" s="260"/>
      <c r="P1098" s="211"/>
      <c r="Q1098" s="261"/>
      <c r="R1098" s="208" t="str">
        <f ca="1">IF(ISERROR($V1098),"",OFFSET('Smelter Look-up'!$C$4,$V1098-4,0)&amp;"")</f>
        <v/>
      </c>
      <c r="S1098" s="215" t="str">
        <f t="shared" ca="1" si="156"/>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si="157"/>
        <v>0</v>
      </c>
      <c r="Y1098" s="263"/>
      <c r="Z1098" s="263"/>
      <c r="AB1098" s="265" t="str">
        <f t="shared" si="158"/>
        <v/>
      </c>
    </row>
    <row r="1099" spans="1:28" s="264" customFormat="1" ht="20.399999999999999">
      <c r="A1099" s="207"/>
      <c r="B1099" s="208"/>
      <c r="C1099" s="212"/>
      <c r="D1099" s="270"/>
      <c r="E1099" s="208"/>
      <c r="F1099" s="208"/>
      <c r="G1099" s="208"/>
      <c r="H1099" s="209"/>
      <c r="I1099" s="210"/>
      <c r="J1099" s="210"/>
      <c r="K1099" s="260"/>
      <c r="L1099" s="260"/>
      <c r="M1099" s="260"/>
      <c r="N1099" s="260"/>
      <c r="O1099" s="260"/>
      <c r="P1099" s="211"/>
      <c r="Q1099" s="261"/>
      <c r="R1099" s="208" t="str">
        <f ca="1">IF(ISERROR($V1099),"",OFFSET('Smelter Look-up'!$C$4,$V1099-4,0)&amp;"")</f>
        <v/>
      </c>
      <c r="S1099" s="215" t="str">
        <f t="shared" ca="1" si="156"/>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si="157"/>
        <v>0</v>
      </c>
      <c r="Y1099" s="263"/>
      <c r="Z1099" s="263"/>
      <c r="AB1099" s="265" t="str">
        <f t="shared" si="158"/>
        <v/>
      </c>
    </row>
    <row r="1100" spans="1:28" s="264" customFormat="1" ht="20.399999999999999">
      <c r="A1100" s="207"/>
      <c r="B1100" s="208"/>
      <c r="C1100" s="212"/>
      <c r="D1100" s="270"/>
      <c r="E1100" s="208"/>
      <c r="F1100" s="208"/>
      <c r="G1100" s="208"/>
      <c r="H1100" s="209"/>
      <c r="I1100" s="210"/>
      <c r="J1100" s="210"/>
      <c r="K1100" s="260"/>
      <c r="L1100" s="260"/>
      <c r="M1100" s="260"/>
      <c r="N1100" s="260"/>
      <c r="O1100" s="260"/>
      <c r="P1100" s="211"/>
      <c r="Q1100" s="261"/>
      <c r="R1100" s="208" t="str">
        <f ca="1">IF(ISERROR($V1100),"",OFFSET('Smelter Look-up'!$C$4,$V1100-4,0)&amp;"")</f>
        <v/>
      </c>
      <c r="S1100" s="215" t="str">
        <f t="shared" ca="1" si="156"/>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si="157"/>
        <v>0</v>
      </c>
      <c r="Y1100" s="263"/>
      <c r="Z1100" s="263"/>
      <c r="AB1100" s="265" t="str">
        <f t="shared" si="158"/>
        <v/>
      </c>
    </row>
    <row r="1101" spans="1:28" s="264" customFormat="1" ht="20.399999999999999">
      <c r="A1101" s="207"/>
      <c r="B1101" s="208"/>
      <c r="C1101" s="212"/>
      <c r="D1101" s="270"/>
      <c r="E1101" s="208"/>
      <c r="F1101" s="208"/>
      <c r="G1101" s="208"/>
      <c r="H1101" s="209"/>
      <c r="I1101" s="210"/>
      <c r="J1101" s="210"/>
      <c r="K1101" s="260"/>
      <c r="L1101" s="260"/>
      <c r="M1101" s="260"/>
      <c r="N1101" s="260"/>
      <c r="O1101" s="260"/>
      <c r="P1101" s="211"/>
      <c r="Q1101" s="261"/>
      <c r="R1101" s="208" t="str">
        <f ca="1">IF(ISERROR($V1101),"",OFFSET('Smelter Look-up'!$C$4,$V1101-4,0)&amp;"")</f>
        <v/>
      </c>
      <c r="S1101" s="215" t="str">
        <f t="shared" ca="1" si="156"/>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si="157"/>
        <v>0</v>
      </c>
      <c r="Y1101" s="263"/>
      <c r="Z1101" s="263"/>
      <c r="AB1101" s="265" t="str">
        <f t="shared" si="158"/>
        <v/>
      </c>
    </row>
    <row r="1102" spans="1:28" s="264" customFormat="1" ht="20.399999999999999">
      <c r="A1102" s="207"/>
      <c r="B1102" s="208"/>
      <c r="C1102" s="212"/>
      <c r="D1102" s="270"/>
      <c r="E1102" s="208"/>
      <c r="F1102" s="208"/>
      <c r="G1102" s="208"/>
      <c r="H1102" s="209"/>
      <c r="I1102" s="210"/>
      <c r="J1102" s="210"/>
      <c r="K1102" s="260"/>
      <c r="L1102" s="260"/>
      <c r="M1102" s="260"/>
      <c r="N1102" s="260"/>
      <c r="O1102" s="260"/>
      <c r="P1102" s="211"/>
      <c r="Q1102" s="261"/>
      <c r="R1102" s="208" t="str">
        <f ca="1">IF(ISERROR($V1102),"",OFFSET('Smelter Look-up'!$C$4,$V1102-4,0)&amp;"")</f>
        <v/>
      </c>
      <c r="S1102" s="215" t="str">
        <f t="shared" ca="1" si="156"/>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si="157"/>
        <v>0</v>
      </c>
      <c r="Y1102" s="263"/>
      <c r="Z1102" s="263"/>
      <c r="AB1102" s="265" t="str">
        <f t="shared" si="158"/>
        <v/>
      </c>
    </row>
    <row r="1103" spans="1:28" s="264" customFormat="1" ht="20.399999999999999">
      <c r="A1103" s="207"/>
      <c r="B1103" s="208"/>
      <c r="C1103" s="212"/>
      <c r="D1103" s="270"/>
      <c r="E1103" s="208"/>
      <c r="F1103" s="208"/>
      <c r="G1103" s="208"/>
      <c r="H1103" s="209"/>
      <c r="I1103" s="210"/>
      <c r="J1103" s="210"/>
      <c r="K1103" s="260"/>
      <c r="L1103" s="260"/>
      <c r="M1103" s="260"/>
      <c r="N1103" s="260"/>
      <c r="O1103" s="260"/>
      <c r="P1103" s="211"/>
      <c r="Q1103" s="261"/>
      <c r="R1103" s="208" t="str">
        <f ca="1">IF(ISERROR($V1103),"",OFFSET('Smelter Look-up'!$C$4,$V1103-4,0)&amp;"")</f>
        <v/>
      </c>
      <c r="S1103" s="215" t="str">
        <f t="shared" ca="1" si="156"/>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si="157"/>
        <v>0</v>
      </c>
      <c r="Y1103" s="263"/>
      <c r="Z1103" s="263"/>
      <c r="AB1103" s="265" t="str">
        <f t="shared" si="158"/>
        <v/>
      </c>
    </row>
    <row r="1104" spans="1:28" s="264" customFormat="1" ht="20.399999999999999">
      <c r="A1104" s="207"/>
      <c r="B1104" s="208"/>
      <c r="C1104" s="212"/>
      <c r="D1104" s="270"/>
      <c r="E1104" s="208"/>
      <c r="F1104" s="208"/>
      <c r="G1104" s="208"/>
      <c r="H1104" s="209"/>
      <c r="I1104" s="210"/>
      <c r="J1104" s="210"/>
      <c r="K1104" s="260"/>
      <c r="L1104" s="260"/>
      <c r="M1104" s="260"/>
      <c r="N1104" s="260"/>
      <c r="O1104" s="260"/>
      <c r="P1104" s="211"/>
      <c r="Q1104" s="261"/>
      <c r="R1104" s="208" t="str">
        <f ca="1">IF(ISERROR($V1104),"",OFFSET('Smelter Look-up'!$C$4,$V1104-4,0)&amp;"")</f>
        <v/>
      </c>
      <c r="S1104" s="215" t="str">
        <f t="shared" ca="1" si="156"/>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si="157"/>
        <v>0</v>
      </c>
      <c r="Y1104" s="263"/>
      <c r="Z1104" s="263"/>
      <c r="AB1104" s="265" t="str">
        <f t="shared" si="158"/>
        <v/>
      </c>
    </row>
    <row r="1105" spans="1:28" s="264" customFormat="1" ht="20.399999999999999">
      <c r="A1105" s="207"/>
      <c r="B1105" s="208"/>
      <c r="C1105" s="212"/>
      <c r="D1105" s="270"/>
      <c r="E1105" s="208"/>
      <c r="F1105" s="208"/>
      <c r="G1105" s="208"/>
      <c r="H1105" s="209"/>
      <c r="I1105" s="210"/>
      <c r="J1105" s="210"/>
      <c r="K1105" s="260"/>
      <c r="L1105" s="260"/>
      <c r="M1105" s="260"/>
      <c r="N1105" s="260"/>
      <c r="O1105" s="260"/>
      <c r="P1105" s="211"/>
      <c r="Q1105" s="261"/>
      <c r="R1105" s="208" t="str">
        <f ca="1">IF(ISERROR($V1105),"",OFFSET('Smelter Look-up'!$C$4,$V1105-4,0)&amp;"")</f>
        <v/>
      </c>
      <c r="S1105" s="215" t="str">
        <f t="shared" ca="1" si="156"/>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si="157"/>
        <v>0</v>
      </c>
      <c r="Y1105" s="263"/>
      <c r="Z1105" s="263"/>
      <c r="AB1105" s="265" t="str">
        <f t="shared" si="158"/>
        <v/>
      </c>
    </row>
    <row r="1106" spans="1:28" s="264" customFormat="1" ht="20.399999999999999">
      <c r="A1106" s="207"/>
      <c r="B1106" s="208"/>
      <c r="C1106" s="212"/>
      <c r="D1106" s="270"/>
      <c r="E1106" s="208"/>
      <c r="F1106" s="208"/>
      <c r="G1106" s="208"/>
      <c r="H1106" s="209"/>
      <c r="I1106" s="210"/>
      <c r="J1106" s="210"/>
      <c r="K1106" s="260"/>
      <c r="L1106" s="260"/>
      <c r="M1106" s="260"/>
      <c r="N1106" s="260"/>
      <c r="O1106" s="260"/>
      <c r="P1106" s="211"/>
      <c r="Q1106" s="261"/>
      <c r="R1106" s="208" t="str">
        <f ca="1">IF(ISERROR($V1106),"",OFFSET('Smelter Look-up'!$C$4,$V1106-4,0)&amp;"")</f>
        <v/>
      </c>
      <c r="S1106" s="215" t="str">
        <f t="shared" ca="1" si="156"/>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si="157"/>
        <v>0</v>
      </c>
      <c r="Y1106" s="263"/>
      <c r="Z1106" s="263"/>
      <c r="AB1106" s="265" t="str">
        <f t="shared" si="158"/>
        <v/>
      </c>
    </row>
    <row r="1107" spans="1:28" s="264" customFormat="1" ht="20.399999999999999">
      <c r="A1107" s="207"/>
      <c r="B1107" s="208"/>
      <c r="C1107" s="212"/>
      <c r="D1107" s="270"/>
      <c r="E1107" s="208"/>
      <c r="F1107" s="208"/>
      <c r="G1107" s="208"/>
      <c r="H1107" s="209"/>
      <c r="I1107" s="210"/>
      <c r="J1107" s="210"/>
      <c r="K1107" s="260"/>
      <c r="L1107" s="260"/>
      <c r="M1107" s="260"/>
      <c r="N1107" s="260"/>
      <c r="O1107" s="260"/>
      <c r="P1107" s="211"/>
      <c r="Q1107" s="261"/>
      <c r="R1107" s="208" t="str">
        <f ca="1">IF(ISERROR($V1107),"",OFFSET('Smelter Look-up'!$C$4,$V1107-4,0)&amp;"")</f>
        <v/>
      </c>
      <c r="S1107" s="215" t="str">
        <f t="shared" ca="1" si="156"/>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si="157"/>
        <v>0</v>
      </c>
      <c r="Y1107" s="263"/>
      <c r="Z1107" s="263"/>
      <c r="AB1107" s="265" t="str">
        <f t="shared" si="158"/>
        <v/>
      </c>
    </row>
    <row r="1108" spans="1:28" s="264" customFormat="1" ht="20.399999999999999">
      <c r="A1108" s="207"/>
      <c r="B1108" s="208"/>
      <c r="C1108" s="212"/>
      <c r="D1108" s="270"/>
      <c r="E1108" s="208"/>
      <c r="F1108" s="208"/>
      <c r="G1108" s="208"/>
      <c r="H1108" s="209"/>
      <c r="I1108" s="210"/>
      <c r="J1108" s="210"/>
      <c r="K1108" s="260"/>
      <c r="L1108" s="260"/>
      <c r="M1108" s="260"/>
      <c r="N1108" s="260"/>
      <c r="O1108" s="260"/>
      <c r="P1108" s="211"/>
      <c r="Q1108" s="261"/>
      <c r="R1108" s="208" t="str">
        <f ca="1">IF(ISERROR($V1108),"",OFFSET('Smelter Look-up'!$C$4,$V1108-4,0)&amp;"")</f>
        <v/>
      </c>
      <c r="S1108" s="215" t="str">
        <f t="shared" ca="1" si="156"/>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si="157"/>
        <v>0</v>
      </c>
      <c r="Y1108" s="263"/>
      <c r="Z1108" s="263"/>
      <c r="AB1108" s="265" t="str">
        <f t="shared" si="158"/>
        <v/>
      </c>
    </row>
    <row r="1109" spans="1:28" s="264" customFormat="1" ht="20.399999999999999">
      <c r="A1109" s="207"/>
      <c r="B1109" s="208"/>
      <c r="C1109" s="212"/>
      <c r="D1109" s="270"/>
      <c r="E1109" s="208"/>
      <c r="F1109" s="208"/>
      <c r="G1109" s="208"/>
      <c r="H1109" s="209"/>
      <c r="I1109" s="210"/>
      <c r="J1109" s="210"/>
      <c r="K1109" s="260"/>
      <c r="L1109" s="260"/>
      <c r="M1109" s="260"/>
      <c r="N1109" s="260"/>
      <c r="O1109" s="260"/>
      <c r="P1109" s="211"/>
      <c r="Q1109" s="261"/>
      <c r="R1109" s="208" t="str">
        <f ca="1">IF(ISERROR($V1109),"",OFFSET('Smelter Look-up'!$C$4,$V1109-4,0)&amp;"")</f>
        <v/>
      </c>
      <c r="S1109" s="215" t="str">
        <f t="shared" ca="1" si="156"/>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si="157"/>
        <v>0</v>
      </c>
      <c r="Y1109" s="263"/>
      <c r="Z1109" s="263"/>
      <c r="AB1109" s="265" t="str">
        <f t="shared" si="158"/>
        <v/>
      </c>
    </row>
    <row r="1110" spans="1:28" s="264" customFormat="1" ht="20.399999999999999">
      <c r="A1110" s="207"/>
      <c r="B1110" s="208"/>
      <c r="C1110" s="212"/>
      <c r="D1110" s="270"/>
      <c r="E1110" s="208"/>
      <c r="F1110" s="208"/>
      <c r="G1110" s="208"/>
      <c r="H1110" s="209"/>
      <c r="I1110" s="210"/>
      <c r="J1110" s="210"/>
      <c r="K1110" s="260"/>
      <c r="L1110" s="260"/>
      <c r="M1110" s="260"/>
      <c r="N1110" s="260"/>
      <c r="O1110" s="260"/>
      <c r="P1110" s="211"/>
      <c r="Q1110" s="261"/>
      <c r="R1110" s="208" t="str">
        <f ca="1">IF(ISERROR($V1110),"",OFFSET('Smelter Look-up'!$C$4,$V1110-4,0)&amp;"")</f>
        <v/>
      </c>
      <c r="S1110" s="215" t="str">
        <f t="shared" ca="1" si="156"/>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si="157"/>
        <v>0</v>
      </c>
      <c r="Y1110" s="263"/>
      <c r="Z1110" s="263"/>
      <c r="AB1110" s="265" t="str">
        <f t="shared" si="158"/>
        <v/>
      </c>
    </row>
    <row r="1111" spans="1:28" s="264" customFormat="1" ht="20.399999999999999">
      <c r="A1111" s="207"/>
      <c r="B1111" s="208"/>
      <c r="C1111" s="212"/>
      <c r="D1111" s="270"/>
      <c r="E1111" s="208"/>
      <c r="F1111" s="208"/>
      <c r="G1111" s="208"/>
      <c r="H1111" s="209"/>
      <c r="I1111" s="210"/>
      <c r="J1111" s="210"/>
      <c r="K1111" s="260"/>
      <c r="L1111" s="260"/>
      <c r="M1111" s="260"/>
      <c r="N1111" s="260"/>
      <c r="O1111" s="260"/>
      <c r="P1111" s="211"/>
      <c r="Q1111" s="261"/>
      <c r="R1111" s="208" t="str">
        <f ca="1">IF(ISERROR($V1111),"",OFFSET('Smelter Look-up'!$C$4,$V1111-4,0)&amp;"")</f>
        <v/>
      </c>
      <c r="S1111" s="215" t="str">
        <f t="shared" ca="1" si="156"/>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si="157"/>
        <v>0</v>
      </c>
      <c r="Y1111" s="263"/>
      <c r="Z1111" s="263"/>
      <c r="AB1111" s="265" t="str">
        <f t="shared" si="158"/>
        <v/>
      </c>
    </row>
    <row r="1112" spans="1:28" s="264" customFormat="1" ht="20.399999999999999">
      <c r="A1112" s="207"/>
      <c r="B1112" s="208"/>
      <c r="C1112" s="212"/>
      <c r="D1112" s="270"/>
      <c r="E1112" s="208"/>
      <c r="F1112" s="208"/>
      <c r="G1112" s="208"/>
      <c r="H1112" s="209"/>
      <c r="I1112" s="210"/>
      <c r="J1112" s="210"/>
      <c r="K1112" s="260"/>
      <c r="L1112" s="260"/>
      <c r="M1112" s="260"/>
      <c r="N1112" s="260"/>
      <c r="O1112" s="260"/>
      <c r="P1112" s="211"/>
      <c r="Q1112" s="261"/>
      <c r="R1112" s="208" t="str">
        <f ca="1">IF(ISERROR($V1112),"",OFFSET('Smelter Look-up'!$C$4,$V1112-4,0)&amp;"")</f>
        <v/>
      </c>
      <c r="S1112" s="215" t="str">
        <f t="shared" ca="1" si="156"/>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si="157"/>
        <v>0</v>
      </c>
      <c r="Y1112" s="263"/>
      <c r="Z1112" s="263"/>
      <c r="AB1112" s="265" t="str">
        <f t="shared" si="158"/>
        <v/>
      </c>
    </row>
    <row r="1113" spans="1:28" s="264" customFormat="1" ht="20.399999999999999">
      <c r="A1113" s="207"/>
      <c r="B1113" s="208"/>
      <c r="C1113" s="212"/>
      <c r="D1113" s="270"/>
      <c r="E1113" s="208"/>
      <c r="F1113" s="208"/>
      <c r="G1113" s="208"/>
      <c r="H1113" s="209"/>
      <c r="I1113" s="210"/>
      <c r="J1113" s="210"/>
      <c r="K1113" s="260"/>
      <c r="L1113" s="260"/>
      <c r="M1113" s="260"/>
      <c r="N1113" s="260"/>
      <c r="O1113" s="260"/>
      <c r="P1113" s="211"/>
      <c r="Q1113" s="261"/>
      <c r="R1113" s="208" t="str">
        <f ca="1">IF(ISERROR($V1113),"",OFFSET('Smelter Look-up'!$C$4,$V1113-4,0)&amp;"")</f>
        <v/>
      </c>
      <c r="S1113" s="215" t="str">
        <f t="shared" ca="1" si="156"/>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si="157"/>
        <v>0</v>
      </c>
      <c r="Y1113" s="263"/>
      <c r="Z1113" s="263"/>
      <c r="AB1113" s="265" t="str">
        <f t="shared" si="158"/>
        <v/>
      </c>
    </row>
    <row r="1114" spans="1:28" s="264" customFormat="1" ht="20.399999999999999">
      <c r="A1114" s="207"/>
      <c r="B1114" s="208"/>
      <c r="C1114" s="212"/>
      <c r="D1114" s="270"/>
      <c r="E1114" s="208"/>
      <c r="F1114" s="208"/>
      <c r="G1114" s="208"/>
      <c r="H1114" s="209"/>
      <c r="I1114" s="210"/>
      <c r="J1114" s="210"/>
      <c r="K1114" s="260"/>
      <c r="L1114" s="260"/>
      <c r="M1114" s="260"/>
      <c r="N1114" s="260"/>
      <c r="O1114" s="260"/>
      <c r="P1114" s="211"/>
      <c r="Q1114" s="261"/>
      <c r="R1114" s="208" t="str">
        <f ca="1">IF(ISERROR($V1114),"",OFFSET('Smelter Look-up'!$C$4,$V1114-4,0)&amp;"")</f>
        <v/>
      </c>
      <c r="S1114" s="215" t="str">
        <f t="shared" ca="1" si="156"/>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si="157"/>
        <v>0</v>
      </c>
      <c r="Y1114" s="263"/>
      <c r="Z1114" s="263"/>
      <c r="AB1114" s="265" t="str">
        <f t="shared" si="158"/>
        <v/>
      </c>
    </row>
    <row r="1115" spans="1:28" s="264" customFormat="1" ht="20.399999999999999">
      <c r="A1115" s="207"/>
      <c r="B1115" s="208"/>
      <c r="C1115" s="212"/>
      <c r="D1115" s="270"/>
      <c r="E1115" s="208"/>
      <c r="F1115" s="208"/>
      <c r="G1115" s="208"/>
      <c r="H1115" s="209"/>
      <c r="I1115" s="210"/>
      <c r="J1115" s="210"/>
      <c r="K1115" s="260"/>
      <c r="L1115" s="260"/>
      <c r="M1115" s="260"/>
      <c r="N1115" s="260"/>
      <c r="O1115" s="260"/>
      <c r="P1115" s="211"/>
      <c r="Q1115" s="261"/>
      <c r="R1115" s="208" t="str">
        <f ca="1">IF(ISERROR($V1115),"",OFFSET('Smelter Look-up'!$C$4,$V1115-4,0)&amp;"")</f>
        <v/>
      </c>
      <c r="S1115" s="215" t="str">
        <f t="shared" ca="1" si="156"/>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si="157"/>
        <v>0</v>
      </c>
      <c r="Y1115" s="263"/>
      <c r="Z1115" s="263"/>
      <c r="AB1115" s="265" t="str">
        <f t="shared" si="158"/>
        <v/>
      </c>
    </row>
    <row r="1116" spans="1:28" s="264" customFormat="1" ht="20.399999999999999">
      <c r="A1116" s="207"/>
      <c r="B1116" s="208"/>
      <c r="C1116" s="212"/>
      <c r="D1116" s="270"/>
      <c r="E1116" s="208"/>
      <c r="F1116" s="208"/>
      <c r="G1116" s="208"/>
      <c r="H1116" s="209"/>
      <c r="I1116" s="210"/>
      <c r="J1116" s="210"/>
      <c r="K1116" s="260"/>
      <c r="L1116" s="260"/>
      <c r="M1116" s="260"/>
      <c r="N1116" s="260"/>
      <c r="O1116" s="260"/>
      <c r="P1116" s="211"/>
      <c r="Q1116" s="261"/>
      <c r="R1116" s="208" t="str">
        <f ca="1">IF(ISERROR($V1116),"",OFFSET('Smelter Look-up'!$C$4,$V1116-4,0)&amp;"")</f>
        <v/>
      </c>
      <c r="S1116" s="215" t="str">
        <f t="shared" ref="S1116:S1146" ca="1" si="159">IF(B1116="","",IF(ISERROR(MATCH($E1116,CL,0)),"Unknown",INDIRECT("'C'!$A$"&amp;MATCH($E1116,CL,0)+1)))</f>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ref="X1116:X1146" si="160">IF(AND(C1116="Smelter not listed",OR(LEN(D1116)=0,LEN(E1116)=0)),1,0)</f>
        <v>0</v>
      </c>
      <c r="Y1116" s="263"/>
      <c r="Z1116" s="263"/>
      <c r="AB1116" s="265" t="str">
        <f t="shared" ref="AB1116:AB1146" si="161">B1116&amp;C1116</f>
        <v/>
      </c>
    </row>
    <row r="1117" spans="1:28" s="264" customFormat="1" ht="20.399999999999999">
      <c r="A1117" s="207"/>
      <c r="B1117" s="208"/>
      <c r="C1117" s="212"/>
      <c r="D1117" s="270"/>
      <c r="E1117" s="208"/>
      <c r="F1117" s="208"/>
      <c r="G1117" s="208"/>
      <c r="H1117" s="209"/>
      <c r="I1117" s="210"/>
      <c r="J1117" s="210"/>
      <c r="K1117" s="260"/>
      <c r="L1117" s="260"/>
      <c r="M1117" s="260"/>
      <c r="N1117" s="260"/>
      <c r="O1117" s="260"/>
      <c r="P1117" s="211"/>
      <c r="Q1117" s="261"/>
      <c r="R1117" s="208" t="str">
        <f ca="1">IF(ISERROR($V1117),"",OFFSET('Smelter Look-up'!$C$4,$V1117-4,0)&amp;"")</f>
        <v/>
      </c>
      <c r="S1117" s="215" t="str">
        <f t="shared" ca="1" si="159"/>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si="160"/>
        <v>0</v>
      </c>
      <c r="Y1117" s="263"/>
      <c r="Z1117" s="263"/>
      <c r="AB1117" s="265" t="str">
        <f t="shared" si="161"/>
        <v/>
      </c>
    </row>
    <row r="1118" spans="1:28" s="264" customFormat="1" ht="20.399999999999999">
      <c r="A1118" s="207"/>
      <c r="B1118" s="208"/>
      <c r="C1118" s="212"/>
      <c r="D1118" s="270"/>
      <c r="E1118" s="208"/>
      <c r="F1118" s="208"/>
      <c r="G1118" s="208"/>
      <c r="H1118" s="209"/>
      <c r="I1118" s="210"/>
      <c r="J1118" s="210"/>
      <c r="K1118" s="260"/>
      <c r="L1118" s="260"/>
      <c r="M1118" s="260"/>
      <c r="N1118" s="260"/>
      <c r="O1118" s="260"/>
      <c r="P1118" s="211"/>
      <c r="Q1118" s="261"/>
      <c r="R1118" s="208" t="str">
        <f ca="1">IF(ISERROR($V1118),"",OFFSET('Smelter Look-up'!$C$4,$V1118-4,0)&amp;"")</f>
        <v/>
      </c>
      <c r="S1118" s="215" t="str">
        <f t="shared" ca="1" si="159"/>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si="160"/>
        <v>0</v>
      </c>
      <c r="Y1118" s="263"/>
      <c r="Z1118" s="263"/>
      <c r="AB1118" s="265" t="str">
        <f t="shared" si="161"/>
        <v/>
      </c>
    </row>
    <row r="1119" spans="1:28" s="264" customFormat="1" ht="20.399999999999999">
      <c r="A1119" s="207"/>
      <c r="B1119" s="208"/>
      <c r="C1119" s="212"/>
      <c r="D1119" s="270"/>
      <c r="E1119" s="208"/>
      <c r="F1119" s="208"/>
      <c r="G1119" s="208"/>
      <c r="H1119" s="209"/>
      <c r="I1119" s="210"/>
      <c r="J1119" s="210"/>
      <c r="K1119" s="260"/>
      <c r="L1119" s="260"/>
      <c r="M1119" s="260"/>
      <c r="N1119" s="260"/>
      <c r="O1119" s="260"/>
      <c r="P1119" s="211"/>
      <c r="Q1119" s="261"/>
      <c r="R1119" s="208" t="str">
        <f ca="1">IF(ISERROR($V1119),"",OFFSET('Smelter Look-up'!$C$4,$V1119-4,0)&amp;"")</f>
        <v/>
      </c>
      <c r="S1119" s="215" t="str">
        <f t="shared" ca="1" si="159"/>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si="160"/>
        <v>0</v>
      </c>
      <c r="Y1119" s="263"/>
      <c r="Z1119" s="263"/>
      <c r="AB1119" s="265" t="str">
        <f t="shared" si="161"/>
        <v/>
      </c>
    </row>
    <row r="1120" spans="1:28" s="264" customFormat="1" ht="20.399999999999999">
      <c r="A1120" s="207"/>
      <c r="B1120" s="208"/>
      <c r="C1120" s="212"/>
      <c r="D1120" s="270"/>
      <c r="E1120" s="208"/>
      <c r="F1120" s="208"/>
      <c r="G1120" s="208"/>
      <c r="H1120" s="209"/>
      <c r="I1120" s="210"/>
      <c r="J1120" s="210"/>
      <c r="K1120" s="260"/>
      <c r="L1120" s="260"/>
      <c r="M1120" s="260"/>
      <c r="N1120" s="260"/>
      <c r="O1120" s="260"/>
      <c r="P1120" s="211"/>
      <c r="Q1120" s="261"/>
      <c r="R1120" s="208" t="str">
        <f ca="1">IF(ISERROR($V1120),"",OFFSET('Smelter Look-up'!$C$4,$V1120-4,0)&amp;"")</f>
        <v/>
      </c>
      <c r="S1120" s="215" t="str">
        <f t="shared" ca="1" si="159"/>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si="160"/>
        <v>0</v>
      </c>
      <c r="Y1120" s="263"/>
      <c r="Z1120" s="263"/>
      <c r="AB1120" s="265" t="str">
        <f t="shared" si="161"/>
        <v/>
      </c>
    </row>
    <row r="1121" spans="1:28" s="264" customFormat="1" ht="20.399999999999999">
      <c r="A1121" s="207"/>
      <c r="B1121" s="208"/>
      <c r="C1121" s="212"/>
      <c r="D1121" s="270"/>
      <c r="E1121" s="208"/>
      <c r="F1121" s="208"/>
      <c r="G1121" s="208"/>
      <c r="H1121" s="209"/>
      <c r="I1121" s="210"/>
      <c r="J1121" s="210"/>
      <c r="K1121" s="260"/>
      <c r="L1121" s="260"/>
      <c r="M1121" s="260"/>
      <c r="N1121" s="260"/>
      <c r="O1121" s="260"/>
      <c r="P1121" s="211"/>
      <c r="Q1121" s="261"/>
      <c r="R1121" s="208" t="str">
        <f ca="1">IF(ISERROR($V1121),"",OFFSET('Smelter Look-up'!$C$4,$V1121-4,0)&amp;"")</f>
        <v/>
      </c>
      <c r="S1121" s="215" t="str">
        <f t="shared" ca="1" si="159"/>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si="160"/>
        <v>0</v>
      </c>
      <c r="Y1121" s="263"/>
      <c r="Z1121" s="263"/>
      <c r="AB1121" s="265" t="str">
        <f t="shared" si="161"/>
        <v/>
      </c>
    </row>
    <row r="1122" spans="1:28" s="264" customFormat="1" ht="20.399999999999999">
      <c r="A1122" s="207"/>
      <c r="B1122" s="208"/>
      <c r="C1122" s="212"/>
      <c r="D1122" s="270"/>
      <c r="E1122" s="208"/>
      <c r="F1122" s="208"/>
      <c r="G1122" s="208"/>
      <c r="H1122" s="209"/>
      <c r="I1122" s="210"/>
      <c r="J1122" s="210"/>
      <c r="K1122" s="260"/>
      <c r="L1122" s="260"/>
      <c r="M1122" s="260"/>
      <c r="N1122" s="260"/>
      <c r="O1122" s="260"/>
      <c r="P1122" s="211"/>
      <c r="Q1122" s="261"/>
      <c r="R1122" s="208" t="str">
        <f ca="1">IF(ISERROR($V1122),"",OFFSET('Smelter Look-up'!$C$4,$V1122-4,0)&amp;"")</f>
        <v/>
      </c>
      <c r="S1122" s="215" t="str">
        <f t="shared" ca="1" si="159"/>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si="160"/>
        <v>0</v>
      </c>
      <c r="Y1122" s="263"/>
      <c r="Z1122" s="263"/>
      <c r="AB1122" s="265" t="str">
        <f t="shared" si="161"/>
        <v/>
      </c>
    </row>
    <row r="1123" spans="1:28" s="264" customFormat="1" ht="20.399999999999999">
      <c r="A1123" s="207"/>
      <c r="B1123" s="208"/>
      <c r="C1123" s="212"/>
      <c r="D1123" s="270"/>
      <c r="E1123" s="208"/>
      <c r="F1123" s="208"/>
      <c r="G1123" s="208"/>
      <c r="H1123" s="209"/>
      <c r="I1123" s="210"/>
      <c r="J1123" s="210"/>
      <c r="K1123" s="260"/>
      <c r="L1123" s="260"/>
      <c r="M1123" s="260"/>
      <c r="N1123" s="260"/>
      <c r="O1123" s="260"/>
      <c r="P1123" s="211"/>
      <c r="Q1123" s="261"/>
      <c r="R1123" s="208" t="str">
        <f ca="1">IF(ISERROR($V1123),"",OFFSET('Smelter Look-up'!$C$4,$V1123-4,0)&amp;"")</f>
        <v/>
      </c>
      <c r="S1123" s="215" t="str">
        <f t="shared" ca="1" si="159"/>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si="160"/>
        <v>0</v>
      </c>
      <c r="Y1123" s="263"/>
      <c r="Z1123" s="263"/>
      <c r="AB1123" s="265" t="str">
        <f t="shared" si="161"/>
        <v/>
      </c>
    </row>
    <row r="1124" spans="1:28" s="264" customFormat="1" ht="20.399999999999999">
      <c r="A1124" s="207"/>
      <c r="B1124" s="208"/>
      <c r="C1124" s="212"/>
      <c r="D1124" s="270"/>
      <c r="E1124" s="208"/>
      <c r="F1124" s="208"/>
      <c r="G1124" s="208"/>
      <c r="H1124" s="209"/>
      <c r="I1124" s="210"/>
      <c r="J1124" s="210"/>
      <c r="K1124" s="260"/>
      <c r="L1124" s="260"/>
      <c r="M1124" s="260"/>
      <c r="N1124" s="260"/>
      <c r="O1124" s="260"/>
      <c r="P1124" s="211"/>
      <c r="Q1124" s="261"/>
      <c r="R1124" s="208" t="str">
        <f ca="1">IF(ISERROR($V1124),"",OFFSET('Smelter Look-up'!$C$4,$V1124-4,0)&amp;"")</f>
        <v/>
      </c>
      <c r="S1124" s="215" t="str">
        <f t="shared" ca="1" si="159"/>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si="160"/>
        <v>0</v>
      </c>
      <c r="Y1124" s="263"/>
      <c r="Z1124" s="263"/>
      <c r="AB1124" s="265" t="str">
        <f t="shared" si="161"/>
        <v/>
      </c>
    </row>
    <row r="1125" spans="1:28" s="264" customFormat="1" ht="20.399999999999999">
      <c r="A1125" s="207"/>
      <c r="B1125" s="208"/>
      <c r="C1125" s="212"/>
      <c r="D1125" s="270"/>
      <c r="E1125" s="208"/>
      <c r="F1125" s="208"/>
      <c r="G1125" s="208"/>
      <c r="H1125" s="209"/>
      <c r="I1125" s="210"/>
      <c r="J1125" s="210"/>
      <c r="K1125" s="260"/>
      <c r="L1125" s="260"/>
      <c r="M1125" s="260"/>
      <c r="N1125" s="260"/>
      <c r="O1125" s="260"/>
      <c r="P1125" s="211"/>
      <c r="Q1125" s="261"/>
      <c r="R1125" s="208" t="str">
        <f ca="1">IF(ISERROR($V1125),"",OFFSET('Smelter Look-up'!$C$4,$V1125-4,0)&amp;"")</f>
        <v/>
      </c>
      <c r="S1125" s="215" t="str">
        <f t="shared" ca="1" si="159"/>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si="160"/>
        <v>0</v>
      </c>
      <c r="Y1125" s="263"/>
      <c r="Z1125" s="263"/>
      <c r="AB1125" s="265" t="str">
        <f t="shared" si="161"/>
        <v/>
      </c>
    </row>
    <row r="1126" spans="1:28" s="264" customFormat="1" ht="20.399999999999999">
      <c r="A1126" s="207"/>
      <c r="B1126" s="208"/>
      <c r="C1126" s="212"/>
      <c r="D1126" s="270"/>
      <c r="E1126" s="208"/>
      <c r="F1126" s="208"/>
      <c r="G1126" s="208"/>
      <c r="H1126" s="209"/>
      <c r="I1126" s="210"/>
      <c r="J1126" s="210"/>
      <c r="K1126" s="260"/>
      <c r="L1126" s="260"/>
      <c r="M1126" s="260"/>
      <c r="N1126" s="260"/>
      <c r="O1126" s="260"/>
      <c r="P1126" s="211"/>
      <c r="Q1126" s="261"/>
      <c r="R1126" s="208" t="str">
        <f ca="1">IF(ISERROR($V1126),"",OFFSET('Smelter Look-up'!$C$4,$V1126-4,0)&amp;"")</f>
        <v/>
      </c>
      <c r="S1126" s="215" t="str">
        <f t="shared" ca="1" si="159"/>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si="160"/>
        <v>0</v>
      </c>
      <c r="Y1126" s="263"/>
      <c r="Z1126" s="263"/>
      <c r="AB1126" s="265" t="str">
        <f t="shared" si="161"/>
        <v/>
      </c>
    </row>
    <row r="1127" spans="1:28" s="264" customFormat="1" ht="20.399999999999999">
      <c r="A1127" s="207"/>
      <c r="B1127" s="208"/>
      <c r="C1127" s="212"/>
      <c r="D1127" s="270"/>
      <c r="E1127" s="208"/>
      <c r="F1127" s="208"/>
      <c r="G1127" s="208"/>
      <c r="H1127" s="209"/>
      <c r="I1127" s="210"/>
      <c r="J1127" s="210"/>
      <c r="K1127" s="260"/>
      <c r="L1127" s="260"/>
      <c r="M1127" s="260"/>
      <c r="N1127" s="260"/>
      <c r="O1127" s="260"/>
      <c r="P1127" s="211"/>
      <c r="Q1127" s="261"/>
      <c r="R1127" s="208" t="str">
        <f ca="1">IF(ISERROR($V1127),"",OFFSET('Smelter Look-up'!$C$4,$V1127-4,0)&amp;"")</f>
        <v/>
      </c>
      <c r="S1127" s="215" t="str">
        <f t="shared" ca="1" si="159"/>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si="160"/>
        <v>0</v>
      </c>
      <c r="Y1127" s="263"/>
      <c r="Z1127" s="263"/>
      <c r="AB1127" s="265" t="str">
        <f t="shared" si="161"/>
        <v/>
      </c>
    </row>
    <row r="1128" spans="1:28" s="264" customFormat="1" ht="20.399999999999999">
      <c r="A1128" s="207"/>
      <c r="B1128" s="208"/>
      <c r="C1128" s="212"/>
      <c r="D1128" s="270"/>
      <c r="E1128" s="208"/>
      <c r="F1128" s="208"/>
      <c r="G1128" s="208"/>
      <c r="H1128" s="209"/>
      <c r="I1128" s="210"/>
      <c r="J1128" s="210"/>
      <c r="K1128" s="260"/>
      <c r="L1128" s="260"/>
      <c r="M1128" s="260"/>
      <c r="N1128" s="260"/>
      <c r="O1128" s="260"/>
      <c r="P1128" s="211"/>
      <c r="Q1128" s="261"/>
      <c r="R1128" s="208" t="str">
        <f ca="1">IF(ISERROR($V1128),"",OFFSET('Smelter Look-up'!$C$4,$V1128-4,0)&amp;"")</f>
        <v/>
      </c>
      <c r="S1128" s="215" t="str">
        <f t="shared" ca="1" si="159"/>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si="160"/>
        <v>0</v>
      </c>
      <c r="Y1128" s="263"/>
      <c r="Z1128" s="263"/>
      <c r="AB1128" s="265" t="str">
        <f t="shared" si="161"/>
        <v/>
      </c>
    </row>
    <row r="1129" spans="1:28" s="264" customFormat="1" ht="20.399999999999999">
      <c r="A1129" s="207"/>
      <c r="B1129" s="208"/>
      <c r="C1129" s="212"/>
      <c r="D1129" s="270"/>
      <c r="E1129" s="208"/>
      <c r="F1129" s="208"/>
      <c r="G1129" s="208"/>
      <c r="H1129" s="209"/>
      <c r="I1129" s="210"/>
      <c r="J1129" s="210"/>
      <c r="K1129" s="260"/>
      <c r="L1129" s="260"/>
      <c r="M1129" s="260"/>
      <c r="N1129" s="260"/>
      <c r="O1129" s="260"/>
      <c r="P1129" s="211"/>
      <c r="Q1129" s="261"/>
      <c r="R1129" s="208" t="str">
        <f ca="1">IF(ISERROR($V1129),"",OFFSET('Smelter Look-up'!$C$4,$V1129-4,0)&amp;"")</f>
        <v/>
      </c>
      <c r="S1129" s="215" t="str">
        <f t="shared" ca="1" si="159"/>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si="160"/>
        <v>0</v>
      </c>
      <c r="Y1129" s="263"/>
      <c r="Z1129" s="263"/>
      <c r="AB1129" s="265" t="str">
        <f t="shared" si="161"/>
        <v/>
      </c>
    </row>
    <row r="1130" spans="1:28" s="264" customFormat="1" ht="20.399999999999999">
      <c r="A1130" s="207"/>
      <c r="B1130" s="208"/>
      <c r="C1130" s="212"/>
      <c r="D1130" s="270"/>
      <c r="E1130" s="208"/>
      <c r="F1130" s="208"/>
      <c r="G1130" s="208"/>
      <c r="H1130" s="209"/>
      <c r="I1130" s="210"/>
      <c r="J1130" s="210"/>
      <c r="K1130" s="260"/>
      <c r="L1130" s="260"/>
      <c r="M1130" s="260"/>
      <c r="N1130" s="260"/>
      <c r="O1130" s="260"/>
      <c r="P1130" s="211"/>
      <c r="Q1130" s="261"/>
      <c r="R1130" s="208" t="str">
        <f ca="1">IF(ISERROR($V1130),"",OFFSET('Smelter Look-up'!$C$4,$V1130-4,0)&amp;"")</f>
        <v/>
      </c>
      <c r="S1130" s="215" t="str">
        <f t="shared" ca="1" si="159"/>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si="160"/>
        <v>0</v>
      </c>
      <c r="Y1130" s="263"/>
      <c r="Z1130" s="263"/>
      <c r="AB1130" s="265" t="str">
        <f t="shared" si="161"/>
        <v/>
      </c>
    </row>
    <row r="1131" spans="1:28" s="264" customFormat="1" ht="20.399999999999999">
      <c r="A1131" s="207"/>
      <c r="B1131" s="208"/>
      <c r="C1131" s="212"/>
      <c r="D1131" s="270"/>
      <c r="E1131" s="208"/>
      <c r="F1131" s="208"/>
      <c r="G1131" s="208"/>
      <c r="H1131" s="209"/>
      <c r="I1131" s="210"/>
      <c r="J1131" s="210"/>
      <c r="K1131" s="260"/>
      <c r="L1131" s="260"/>
      <c r="M1131" s="260"/>
      <c r="N1131" s="260"/>
      <c r="O1131" s="260"/>
      <c r="P1131" s="211"/>
      <c r="Q1131" s="261"/>
      <c r="R1131" s="208" t="str">
        <f ca="1">IF(ISERROR($V1131),"",OFFSET('Smelter Look-up'!$C$4,$V1131-4,0)&amp;"")</f>
        <v/>
      </c>
      <c r="S1131" s="215" t="str">
        <f t="shared" ca="1" si="159"/>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si="160"/>
        <v>0</v>
      </c>
      <c r="Y1131" s="263"/>
      <c r="Z1131" s="263"/>
      <c r="AB1131" s="265" t="str">
        <f t="shared" si="161"/>
        <v/>
      </c>
    </row>
    <row r="1132" spans="1:28" s="264" customFormat="1" ht="20.399999999999999">
      <c r="A1132" s="207"/>
      <c r="B1132" s="208"/>
      <c r="C1132" s="212"/>
      <c r="D1132" s="270"/>
      <c r="E1132" s="208"/>
      <c r="F1132" s="208"/>
      <c r="G1132" s="208"/>
      <c r="H1132" s="209"/>
      <c r="I1132" s="210"/>
      <c r="J1132" s="210"/>
      <c r="K1132" s="260"/>
      <c r="L1132" s="260"/>
      <c r="M1132" s="260"/>
      <c r="N1132" s="260"/>
      <c r="O1132" s="260"/>
      <c r="P1132" s="211"/>
      <c r="Q1132" s="261"/>
      <c r="R1132" s="208" t="str">
        <f ca="1">IF(ISERROR($V1132),"",OFFSET('Smelter Look-up'!$C$4,$V1132-4,0)&amp;"")</f>
        <v/>
      </c>
      <c r="S1132" s="215" t="str">
        <f t="shared" ca="1" si="159"/>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si="160"/>
        <v>0</v>
      </c>
      <c r="Y1132" s="263"/>
      <c r="Z1132" s="263"/>
      <c r="AB1132" s="265" t="str">
        <f t="shared" si="161"/>
        <v/>
      </c>
    </row>
    <row r="1133" spans="1:28" s="264" customFormat="1" ht="20.399999999999999">
      <c r="A1133" s="207"/>
      <c r="B1133" s="208"/>
      <c r="C1133" s="212"/>
      <c r="D1133" s="270"/>
      <c r="E1133" s="208"/>
      <c r="F1133" s="208"/>
      <c r="G1133" s="208"/>
      <c r="H1133" s="209"/>
      <c r="I1133" s="210"/>
      <c r="J1133" s="210"/>
      <c r="K1133" s="260"/>
      <c r="L1133" s="260"/>
      <c r="M1133" s="260"/>
      <c r="N1133" s="260"/>
      <c r="O1133" s="260"/>
      <c r="P1133" s="211"/>
      <c r="Q1133" s="261"/>
      <c r="R1133" s="208" t="str">
        <f ca="1">IF(ISERROR($V1133),"",OFFSET('Smelter Look-up'!$C$4,$V1133-4,0)&amp;"")</f>
        <v/>
      </c>
      <c r="S1133" s="215" t="str">
        <f t="shared" ca="1" si="159"/>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si="160"/>
        <v>0</v>
      </c>
      <c r="Y1133" s="263"/>
      <c r="Z1133" s="263"/>
      <c r="AB1133" s="265" t="str">
        <f t="shared" si="161"/>
        <v/>
      </c>
    </row>
    <row r="1134" spans="1:28" s="264" customFormat="1" ht="20.399999999999999">
      <c r="A1134" s="207"/>
      <c r="B1134" s="208"/>
      <c r="C1134" s="212"/>
      <c r="D1134" s="270"/>
      <c r="E1134" s="208"/>
      <c r="F1134" s="208"/>
      <c r="G1134" s="208"/>
      <c r="H1134" s="209"/>
      <c r="I1134" s="210"/>
      <c r="J1134" s="210"/>
      <c r="K1134" s="260"/>
      <c r="L1134" s="260"/>
      <c r="M1134" s="260"/>
      <c r="N1134" s="260"/>
      <c r="O1134" s="260"/>
      <c r="P1134" s="211"/>
      <c r="Q1134" s="261"/>
      <c r="R1134" s="208" t="str">
        <f ca="1">IF(ISERROR($V1134),"",OFFSET('Smelter Look-up'!$C$4,$V1134-4,0)&amp;"")</f>
        <v/>
      </c>
      <c r="S1134" s="215" t="str">
        <f t="shared" ca="1" si="159"/>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si="160"/>
        <v>0</v>
      </c>
      <c r="Y1134" s="263"/>
      <c r="Z1134" s="263"/>
      <c r="AB1134" s="265" t="str">
        <f t="shared" si="161"/>
        <v/>
      </c>
    </row>
    <row r="1135" spans="1:28" s="264" customFormat="1" ht="20.399999999999999">
      <c r="A1135" s="207"/>
      <c r="B1135" s="208"/>
      <c r="C1135" s="212"/>
      <c r="D1135" s="270"/>
      <c r="E1135" s="208"/>
      <c r="F1135" s="208"/>
      <c r="G1135" s="208"/>
      <c r="H1135" s="209"/>
      <c r="I1135" s="210"/>
      <c r="J1135" s="210"/>
      <c r="K1135" s="260"/>
      <c r="L1135" s="260"/>
      <c r="M1135" s="260"/>
      <c r="N1135" s="260"/>
      <c r="O1135" s="260"/>
      <c r="P1135" s="211"/>
      <c r="Q1135" s="261"/>
      <c r="R1135" s="208" t="str">
        <f ca="1">IF(ISERROR($V1135),"",OFFSET('Smelter Look-up'!$C$4,$V1135-4,0)&amp;"")</f>
        <v/>
      </c>
      <c r="S1135" s="215" t="str">
        <f t="shared" ca="1" si="159"/>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si="160"/>
        <v>0</v>
      </c>
      <c r="Y1135" s="263"/>
      <c r="Z1135" s="263"/>
      <c r="AB1135" s="265" t="str">
        <f t="shared" si="161"/>
        <v/>
      </c>
    </row>
    <row r="1136" spans="1:28" s="264" customFormat="1" ht="20.399999999999999">
      <c r="A1136" s="207"/>
      <c r="B1136" s="208"/>
      <c r="C1136" s="212"/>
      <c r="D1136" s="270"/>
      <c r="E1136" s="208"/>
      <c r="F1136" s="208"/>
      <c r="G1136" s="208"/>
      <c r="H1136" s="209"/>
      <c r="I1136" s="210"/>
      <c r="J1136" s="210"/>
      <c r="K1136" s="260"/>
      <c r="L1136" s="260"/>
      <c r="M1136" s="260"/>
      <c r="N1136" s="260"/>
      <c r="O1136" s="260"/>
      <c r="P1136" s="211"/>
      <c r="Q1136" s="261"/>
      <c r="R1136" s="208" t="str">
        <f ca="1">IF(ISERROR($V1136),"",OFFSET('Smelter Look-up'!$C$4,$V1136-4,0)&amp;"")</f>
        <v/>
      </c>
      <c r="S1136" s="215" t="str">
        <f t="shared" ca="1" si="159"/>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si="160"/>
        <v>0</v>
      </c>
      <c r="Y1136" s="263"/>
      <c r="Z1136" s="263"/>
      <c r="AB1136" s="265" t="str">
        <f t="shared" si="161"/>
        <v/>
      </c>
    </row>
    <row r="1137" spans="1:28" s="264" customFormat="1" ht="20.399999999999999">
      <c r="A1137" s="207"/>
      <c r="B1137" s="208"/>
      <c r="C1137" s="212"/>
      <c r="D1137" s="270"/>
      <c r="E1137" s="208"/>
      <c r="F1137" s="208"/>
      <c r="G1137" s="208"/>
      <c r="H1137" s="209"/>
      <c r="I1137" s="210"/>
      <c r="J1137" s="210"/>
      <c r="K1137" s="260"/>
      <c r="L1137" s="260"/>
      <c r="M1137" s="260"/>
      <c r="N1137" s="260"/>
      <c r="O1137" s="260"/>
      <c r="P1137" s="211"/>
      <c r="Q1137" s="261"/>
      <c r="R1137" s="208" t="str">
        <f ca="1">IF(ISERROR($V1137),"",OFFSET('Smelter Look-up'!$C$4,$V1137-4,0)&amp;"")</f>
        <v/>
      </c>
      <c r="S1137" s="215" t="str">
        <f t="shared" ca="1" si="159"/>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si="160"/>
        <v>0</v>
      </c>
      <c r="Y1137" s="263"/>
      <c r="Z1137" s="263"/>
      <c r="AB1137" s="265" t="str">
        <f t="shared" si="161"/>
        <v/>
      </c>
    </row>
    <row r="1138" spans="1:28" s="264" customFormat="1" ht="20.399999999999999">
      <c r="A1138" s="207"/>
      <c r="B1138" s="208"/>
      <c r="C1138" s="212"/>
      <c r="D1138" s="270"/>
      <c r="E1138" s="208"/>
      <c r="F1138" s="208"/>
      <c r="G1138" s="208"/>
      <c r="H1138" s="209"/>
      <c r="I1138" s="210"/>
      <c r="J1138" s="210"/>
      <c r="K1138" s="260"/>
      <c r="L1138" s="260"/>
      <c r="M1138" s="260"/>
      <c r="N1138" s="260"/>
      <c r="O1138" s="260"/>
      <c r="P1138" s="211"/>
      <c r="Q1138" s="261"/>
      <c r="R1138" s="208" t="str">
        <f ca="1">IF(ISERROR($V1138),"",OFFSET('Smelter Look-up'!$C$4,$V1138-4,0)&amp;"")</f>
        <v/>
      </c>
      <c r="S1138" s="215" t="str">
        <f t="shared" ca="1" si="159"/>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si="160"/>
        <v>0</v>
      </c>
      <c r="Y1138" s="263"/>
      <c r="Z1138" s="263"/>
      <c r="AB1138" s="265" t="str">
        <f t="shared" si="161"/>
        <v/>
      </c>
    </row>
    <row r="1139" spans="1:28" s="264" customFormat="1" ht="20.399999999999999">
      <c r="A1139" s="207"/>
      <c r="B1139" s="208"/>
      <c r="C1139" s="212"/>
      <c r="D1139" s="270"/>
      <c r="E1139" s="208"/>
      <c r="F1139" s="208"/>
      <c r="G1139" s="208"/>
      <c r="H1139" s="209"/>
      <c r="I1139" s="210"/>
      <c r="J1139" s="210"/>
      <c r="K1139" s="260"/>
      <c r="L1139" s="260"/>
      <c r="M1139" s="260"/>
      <c r="N1139" s="260"/>
      <c r="O1139" s="260"/>
      <c r="P1139" s="211"/>
      <c r="Q1139" s="261"/>
      <c r="R1139" s="208" t="str">
        <f ca="1">IF(ISERROR($V1139),"",OFFSET('Smelter Look-up'!$C$4,$V1139-4,0)&amp;"")</f>
        <v/>
      </c>
      <c r="S1139" s="215" t="str">
        <f t="shared" ca="1" si="159"/>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si="160"/>
        <v>0</v>
      </c>
      <c r="Y1139" s="263"/>
      <c r="Z1139" s="263"/>
      <c r="AB1139" s="265" t="str">
        <f t="shared" si="161"/>
        <v/>
      </c>
    </row>
    <row r="1140" spans="1:28" s="264" customFormat="1" ht="20.399999999999999">
      <c r="A1140" s="207"/>
      <c r="B1140" s="208"/>
      <c r="C1140" s="212"/>
      <c r="D1140" s="270"/>
      <c r="E1140" s="208"/>
      <c r="F1140" s="208"/>
      <c r="G1140" s="208"/>
      <c r="H1140" s="209"/>
      <c r="I1140" s="210"/>
      <c r="J1140" s="210"/>
      <c r="K1140" s="260"/>
      <c r="L1140" s="260"/>
      <c r="M1140" s="260"/>
      <c r="N1140" s="260"/>
      <c r="O1140" s="260"/>
      <c r="P1140" s="211"/>
      <c r="Q1140" s="261"/>
      <c r="R1140" s="208" t="str">
        <f ca="1">IF(ISERROR($V1140),"",OFFSET('Smelter Look-up'!$C$4,$V1140-4,0)&amp;"")</f>
        <v/>
      </c>
      <c r="S1140" s="215" t="str">
        <f t="shared" ca="1" si="159"/>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si="160"/>
        <v>0</v>
      </c>
      <c r="Y1140" s="263"/>
      <c r="Z1140" s="263"/>
      <c r="AB1140" s="265" t="str">
        <f t="shared" si="161"/>
        <v/>
      </c>
    </row>
    <row r="1141" spans="1:28" s="264" customFormat="1" ht="20.399999999999999">
      <c r="A1141" s="207"/>
      <c r="B1141" s="208"/>
      <c r="C1141" s="212"/>
      <c r="D1141" s="270"/>
      <c r="E1141" s="208"/>
      <c r="F1141" s="208"/>
      <c r="G1141" s="208"/>
      <c r="H1141" s="209"/>
      <c r="I1141" s="210"/>
      <c r="J1141" s="210"/>
      <c r="K1141" s="260"/>
      <c r="L1141" s="260"/>
      <c r="M1141" s="260"/>
      <c r="N1141" s="260"/>
      <c r="O1141" s="260"/>
      <c r="P1141" s="211"/>
      <c r="Q1141" s="261"/>
      <c r="R1141" s="208" t="str">
        <f ca="1">IF(ISERROR($V1141),"",OFFSET('Smelter Look-up'!$C$4,$V1141-4,0)&amp;"")</f>
        <v/>
      </c>
      <c r="S1141" s="215" t="str">
        <f t="shared" ca="1" si="159"/>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si="160"/>
        <v>0</v>
      </c>
      <c r="Y1141" s="263"/>
      <c r="Z1141" s="263"/>
      <c r="AB1141" s="265" t="str">
        <f t="shared" si="161"/>
        <v/>
      </c>
    </row>
    <row r="1142" spans="1:28" s="264" customFormat="1" ht="20.399999999999999">
      <c r="A1142" s="207"/>
      <c r="B1142" s="208"/>
      <c r="C1142" s="212"/>
      <c r="D1142" s="270"/>
      <c r="E1142" s="208"/>
      <c r="F1142" s="208"/>
      <c r="G1142" s="208"/>
      <c r="H1142" s="209"/>
      <c r="I1142" s="210"/>
      <c r="J1142" s="210"/>
      <c r="K1142" s="260"/>
      <c r="L1142" s="260"/>
      <c r="M1142" s="260"/>
      <c r="N1142" s="260"/>
      <c r="O1142" s="260"/>
      <c r="P1142" s="211"/>
      <c r="Q1142" s="261"/>
      <c r="R1142" s="208" t="str">
        <f ca="1">IF(ISERROR($V1142),"",OFFSET('Smelter Look-up'!$C$4,$V1142-4,0)&amp;"")</f>
        <v/>
      </c>
      <c r="S1142" s="215" t="str">
        <f t="shared" ca="1" si="159"/>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si="160"/>
        <v>0</v>
      </c>
      <c r="Y1142" s="263"/>
      <c r="Z1142" s="263"/>
      <c r="AB1142" s="265" t="str">
        <f t="shared" si="161"/>
        <v/>
      </c>
    </row>
    <row r="1143" spans="1:28" s="264" customFormat="1" ht="20.399999999999999">
      <c r="A1143" s="207"/>
      <c r="B1143" s="208"/>
      <c r="C1143" s="212"/>
      <c r="D1143" s="270"/>
      <c r="E1143" s="208"/>
      <c r="F1143" s="208"/>
      <c r="G1143" s="208"/>
      <c r="H1143" s="209"/>
      <c r="I1143" s="210"/>
      <c r="J1143" s="210"/>
      <c r="K1143" s="260"/>
      <c r="L1143" s="260"/>
      <c r="M1143" s="260"/>
      <c r="N1143" s="260"/>
      <c r="O1143" s="260"/>
      <c r="P1143" s="211"/>
      <c r="Q1143" s="261"/>
      <c r="R1143" s="208" t="str">
        <f ca="1">IF(ISERROR($V1143),"",OFFSET('Smelter Look-up'!$C$4,$V1143-4,0)&amp;"")</f>
        <v/>
      </c>
      <c r="S1143" s="215" t="str">
        <f t="shared" ca="1" si="159"/>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si="160"/>
        <v>0</v>
      </c>
      <c r="Y1143" s="263"/>
      <c r="Z1143" s="263"/>
      <c r="AB1143" s="265" t="str">
        <f t="shared" si="161"/>
        <v/>
      </c>
    </row>
    <row r="1144" spans="1:28" s="264" customFormat="1" ht="20.399999999999999">
      <c r="A1144" s="207"/>
      <c r="B1144" s="208"/>
      <c r="C1144" s="212"/>
      <c r="D1144" s="270"/>
      <c r="E1144" s="208"/>
      <c r="F1144" s="208"/>
      <c r="G1144" s="208"/>
      <c r="H1144" s="209"/>
      <c r="I1144" s="210"/>
      <c r="J1144" s="210"/>
      <c r="K1144" s="260"/>
      <c r="L1144" s="260"/>
      <c r="M1144" s="260"/>
      <c r="N1144" s="260"/>
      <c r="O1144" s="260"/>
      <c r="P1144" s="211"/>
      <c r="Q1144" s="261"/>
      <c r="R1144" s="208" t="str">
        <f ca="1">IF(ISERROR($V1144),"",OFFSET('Smelter Look-up'!$C$4,$V1144-4,0)&amp;"")</f>
        <v/>
      </c>
      <c r="S1144" s="215" t="str">
        <f t="shared" ca="1" si="159"/>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si="160"/>
        <v>0</v>
      </c>
      <c r="Y1144" s="263"/>
      <c r="Z1144" s="263"/>
      <c r="AB1144" s="265" t="str">
        <f t="shared" si="161"/>
        <v/>
      </c>
    </row>
    <row r="1145" spans="1:28" s="264" customFormat="1" ht="20.399999999999999">
      <c r="A1145" s="207"/>
      <c r="B1145" s="208"/>
      <c r="C1145" s="212"/>
      <c r="D1145" s="270"/>
      <c r="E1145" s="208"/>
      <c r="F1145" s="208"/>
      <c r="G1145" s="208"/>
      <c r="H1145" s="209"/>
      <c r="I1145" s="210"/>
      <c r="J1145" s="210"/>
      <c r="K1145" s="260"/>
      <c r="L1145" s="260"/>
      <c r="M1145" s="260"/>
      <c r="N1145" s="260"/>
      <c r="O1145" s="260"/>
      <c r="P1145" s="211"/>
      <c r="Q1145" s="261"/>
      <c r="R1145" s="208" t="str">
        <f ca="1">IF(ISERROR($V1145),"",OFFSET('Smelter Look-up'!$C$4,$V1145-4,0)&amp;"")</f>
        <v/>
      </c>
      <c r="S1145" s="215" t="str">
        <f t="shared" ca="1" si="159"/>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si="160"/>
        <v>0</v>
      </c>
      <c r="Y1145" s="263"/>
      <c r="Z1145" s="263"/>
      <c r="AB1145" s="265" t="str">
        <f t="shared" si="161"/>
        <v/>
      </c>
    </row>
    <row r="1146" spans="1:28" s="264" customFormat="1" ht="20.399999999999999">
      <c r="A1146" s="207"/>
      <c r="B1146" s="208"/>
      <c r="C1146" s="212"/>
      <c r="D1146" s="270"/>
      <c r="E1146" s="208"/>
      <c r="F1146" s="208"/>
      <c r="G1146" s="208"/>
      <c r="H1146" s="209"/>
      <c r="I1146" s="210"/>
      <c r="J1146" s="210"/>
      <c r="K1146" s="260"/>
      <c r="L1146" s="260"/>
      <c r="M1146" s="260"/>
      <c r="N1146" s="260"/>
      <c r="O1146" s="260"/>
      <c r="P1146" s="211"/>
      <c r="Q1146" s="261"/>
      <c r="R1146" s="208" t="str">
        <f ca="1">IF(ISERROR($V1146),"",OFFSET('Smelter Look-up'!$C$4,$V1146-4,0)&amp;"")</f>
        <v/>
      </c>
      <c r="S1146" s="215" t="str">
        <f t="shared" ca="1" si="159"/>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si="160"/>
        <v>0</v>
      </c>
      <c r="Y1146" s="263"/>
      <c r="Z1146" s="263"/>
      <c r="AB1146" s="265" t="str">
        <f t="shared" si="161"/>
        <v/>
      </c>
    </row>
    <row r="1147" spans="1:28" s="264" customFormat="1" ht="20.399999999999999">
      <c r="A1147" s="207"/>
      <c r="B1147" s="208"/>
      <c r="C1147" s="212"/>
      <c r="D1147" s="270"/>
      <c r="E1147" s="208"/>
      <c r="F1147" s="208"/>
      <c r="G1147" s="208"/>
      <c r="H1147" s="209"/>
      <c r="I1147" s="210"/>
      <c r="J1147" s="210"/>
      <c r="K1147" s="260"/>
      <c r="L1147" s="260"/>
      <c r="M1147" s="260"/>
      <c r="N1147" s="260"/>
      <c r="O1147" s="260"/>
      <c r="P1147" s="211"/>
      <c r="Q1147" s="261"/>
      <c r="R1147" s="208" t="str">
        <f ca="1">IF(ISERROR($V1147),"",OFFSET('Smelter Look-up'!$C$4,$V1147-4,0)&amp;"")</f>
        <v/>
      </c>
      <c r="S1147" s="215" t="str">
        <f t="shared" ref="S1147" ca="1" si="162">IF(B1147="","",IF(ISERROR(MATCH($E1147,CL,0)),"Unknown",INDIRECT("'C'!$A$"&amp;MATCH($E1147,CL,0)+1)))</f>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ref="X1147" si="163">IF(AND(C1147="Smelter not listed",OR(LEN(D1147)=0,LEN(E1147)=0)),1,0)</f>
        <v>0</v>
      </c>
      <c r="Y1147" s="263"/>
      <c r="Z1147" s="263"/>
      <c r="AB1147" s="265" t="str">
        <f t="shared" ref="AB1147" si="164">B1147&amp;C1147</f>
        <v/>
      </c>
    </row>
    <row r="1148" spans="1:28" s="264" customFormat="1" ht="20.399999999999999">
      <c r="A1148" s="207"/>
      <c r="B1148" s="208"/>
      <c r="C1148" s="212"/>
      <c r="D1148" s="270"/>
      <c r="E1148" s="208"/>
      <c r="F1148" s="208"/>
      <c r="G1148" s="208"/>
      <c r="H1148" s="209"/>
      <c r="I1148" s="210"/>
      <c r="J1148" s="210"/>
      <c r="K1148" s="260"/>
      <c r="L1148" s="260"/>
      <c r="M1148" s="260"/>
      <c r="N1148" s="260"/>
      <c r="O1148" s="260"/>
      <c r="P1148" s="211"/>
      <c r="Q1148" s="261"/>
      <c r="R1148" s="208" t="str">
        <f ca="1">IF(ISERROR($V1148),"",OFFSET('Smelter Look-up'!$C$4,$V1148-4,0)&amp;"")</f>
        <v/>
      </c>
      <c r="S1148" s="215" t="str">
        <f t="shared" ref="S1148:S1179" ca="1" si="165">IF(B1148="","",IF(ISERROR(MATCH($E1148,CL,0)),"Unknown",INDIRECT("'C'!$A$"&amp;MATCH($E1148,CL,0)+1)))</f>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ref="X1148:X1179" si="166">IF(AND(C1148="Smelter not listed",OR(LEN(D1148)=0,LEN(E1148)=0)),1,0)</f>
        <v>0</v>
      </c>
      <c r="Y1148" s="263"/>
      <c r="Z1148" s="263"/>
      <c r="AB1148" s="265" t="str">
        <f t="shared" ref="AB1148:AB1179" si="167">B1148&amp;C1148</f>
        <v/>
      </c>
    </row>
    <row r="1149" spans="1:28" s="264" customFormat="1" ht="20.399999999999999">
      <c r="A1149" s="207"/>
      <c r="B1149" s="208"/>
      <c r="C1149" s="212"/>
      <c r="D1149" s="270"/>
      <c r="E1149" s="208"/>
      <c r="F1149" s="208"/>
      <c r="G1149" s="208"/>
      <c r="H1149" s="209"/>
      <c r="I1149" s="210"/>
      <c r="J1149" s="210"/>
      <c r="K1149" s="260"/>
      <c r="L1149" s="260"/>
      <c r="M1149" s="260"/>
      <c r="N1149" s="260"/>
      <c r="O1149" s="260"/>
      <c r="P1149" s="211"/>
      <c r="Q1149" s="261"/>
      <c r="R1149" s="208" t="str">
        <f ca="1">IF(ISERROR($V1149),"",OFFSET('Smelter Look-up'!$C$4,$V1149-4,0)&amp;"")</f>
        <v/>
      </c>
      <c r="S1149" s="215" t="str">
        <f t="shared" ca="1" si="165"/>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si="166"/>
        <v>0</v>
      </c>
      <c r="Y1149" s="263"/>
      <c r="Z1149" s="263"/>
      <c r="AB1149" s="265" t="str">
        <f t="shared" si="167"/>
        <v/>
      </c>
    </row>
    <row r="1150" spans="1:28" s="264" customFormat="1" ht="20.399999999999999">
      <c r="A1150" s="207"/>
      <c r="B1150" s="208"/>
      <c r="C1150" s="212"/>
      <c r="D1150" s="270"/>
      <c r="E1150" s="208"/>
      <c r="F1150" s="208"/>
      <c r="G1150" s="208"/>
      <c r="H1150" s="209"/>
      <c r="I1150" s="210"/>
      <c r="J1150" s="210"/>
      <c r="K1150" s="260"/>
      <c r="L1150" s="260"/>
      <c r="M1150" s="260"/>
      <c r="N1150" s="260"/>
      <c r="O1150" s="260"/>
      <c r="P1150" s="211"/>
      <c r="Q1150" s="261"/>
      <c r="R1150" s="208" t="str">
        <f ca="1">IF(ISERROR($V1150),"",OFFSET('Smelter Look-up'!$C$4,$V1150-4,0)&amp;"")</f>
        <v/>
      </c>
      <c r="S1150" s="215" t="str">
        <f t="shared" ca="1" si="165"/>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si="166"/>
        <v>0</v>
      </c>
      <c r="Y1150" s="263"/>
      <c r="Z1150" s="263"/>
      <c r="AB1150" s="265" t="str">
        <f t="shared" si="167"/>
        <v/>
      </c>
    </row>
    <row r="1151" spans="1:28" s="264" customFormat="1" ht="20.399999999999999">
      <c r="A1151" s="207"/>
      <c r="B1151" s="208"/>
      <c r="C1151" s="212"/>
      <c r="D1151" s="270"/>
      <c r="E1151" s="208"/>
      <c r="F1151" s="208"/>
      <c r="G1151" s="208"/>
      <c r="H1151" s="209"/>
      <c r="I1151" s="210"/>
      <c r="J1151" s="210"/>
      <c r="K1151" s="260"/>
      <c r="L1151" s="260"/>
      <c r="M1151" s="260"/>
      <c r="N1151" s="260"/>
      <c r="O1151" s="260"/>
      <c r="P1151" s="211"/>
      <c r="Q1151" s="261"/>
      <c r="R1151" s="208" t="str">
        <f ca="1">IF(ISERROR($V1151),"",OFFSET('Smelter Look-up'!$C$4,$V1151-4,0)&amp;"")</f>
        <v/>
      </c>
      <c r="S1151" s="215" t="str">
        <f t="shared" ca="1" si="165"/>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si="166"/>
        <v>0</v>
      </c>
      <c r="Y1151" s="263"/>
      <c r="Z1151" s="263"/>
      <c r="AB1151" s="265" t="str">
        <f t="shared" si="167"/>
        <v/>
      </c>
    </row>
    <row r="1152" spans="1:28" s="264" customFormat="1" ht="20.399999999999999">
      <c r="A1152" s="207"/>
      <c r="B1152" s="208"/>
      <c r="C1152" s="212"/>
      <c r="D1152" s="270"/>
      <c r="E1152" s="208"/>
      <c r="F1152" s="208"/>
      <c r="G1152" s="208"/>
      <c r="H1152" s="209"/>
      <c r="I1152" s="210"/>
      <c r="J1152" s="210"/>
      <c r="K1152" s="260"/>
      <c r="L1152" s="260"/>
      <c r="M1152" s="260"/>
      <c r="N1152" s="260"/>
      <c r="O1152" s="260"/>
      <c r="P1152" s="211"/>
      <c r="Q1152" s="261"/>
      <c r="R1152" s="208" t="str">
        <f ca="1">IF(ISERROR($V1152),"",OFFSET('Smelter Look-up'!$C$4,$V1152-4,0)&amp;"")</f>
        <v/>
      </c>
      <c r="S1152" s="215" t="str">
        <f t="shared" ca="1" si="165"/>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si="166"/>
        <v>0</v>
      </c>
      <c r="Y1152" s="263"/>
      <c r="Z1152" s="263"/>
      <c r="AB1152" s="265" t="str">
        <f t="shared" si="167"/>
        <v/>
      </c>
    </row>
    <row r="1153" spans="1:28" s="264" customFormat="1" ht="20.399999999999999">
      <c r="A1153" s="207"/>
      <c r="B1153" s="208"/>
      <c r="C1153" s="212"/>
      <c r="D1153" s="270"/>
      <c r="E1153" s="208"/>
      <c r="F1153" s="208"/>
      <c r="G1153" s="208"/>
      <c r="H1153" s="209"/>
      <c r="I1153" s="210"/>
      <c r="J1153" s="210"/>
      <c r="K1153" s="260"/>
      <c r="L1153" s="260"/>
      <c r="M1153" s="260"/>
      <c r="N1153" s="260"/>
      <c r="O1153" s="260"/>
      <c r="P1153" s="211"/>
      <c r="Q1153" s="261"/>
      <c r="R1153" s="208" t="str">
        <f ca="1">IF(ISERROR($V1153),"",OFFSET('Smelter Look-up'!$C$4,$V1153-4,0)&amp;"")</f>
        <v/>
      </c>
      <c r="S1153" s="215" t="str">
        <f t="shared" ca="1" si="165"/>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si="166"/>
        <v>0</v>
      </c>
      <c r="Y1153" s="263"/>
      <c r="Z1153" s="263"/>
      <c r="AB1153" s="265" t="str">
        <f t="shared" si="167"/>
        <v/>
      </c>
    </row>
    <row r="1154" spans="1:28" s="264" customFormat="1" ht="20.399999999999999">
      <c r="A1154" s="207"/>
      <c r="B1154" s="208"/>
      <c r="C1154" s="212"/>
      <c r="D1154" s="270"/>
      <c r="E1154" s="208"/>
      <c r="F1154" s="208"/>
      <c r="G1154" s="208"/>
      <c r="H1154" s="209"/>
      <c r="I1154" s="210"/>
      <c r="J1154" s="210"/>
      <c r="K1154" s="260"/>
      <c r="L1154" s="260"/>
      <c r="M1154" s="260"/>
      <c r="N1154" s="260"/>
      <c r="O1154" s="260"/>
      <c r="P1154" s="211"/>
      <c r="Q1154" s="261"/>
      <c r="R1154" s="208" t="str">
        <f ca="1">IF(ISERROR($V1154),"",OFFSET('Smelter Look-up'!$C$4,$V1154-4,0)&amp;"")</f>
        <v/>
      </c>
      <c r="S1154" s="215" t="str">
        <f t="shared" ca="1" si="165"/>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si="166"/>
        <v>0</v>
      </c>
      <c r="Y1154" s="263"/>
      <c r="Z1154" s="263"/>
      <c r="AB1154" s="265" t="str">
        <f t="shared" si="167"/>
        <v/>
      </c>
    </row>
    <row r="1155" spans="1:28" s="264" customFormat="1" ht="20.399999999999999">
      <c r="A1155" s="207"/>
      <c r="B1155" s="208"/>
      <c r="C1155" s="212"/>
      <c r="D1155" s="270"/>
      <c r="E1155" s="208"/>
      <c r="F1155" s="208"/>
      <c r="G1155" s="208"/>
      <c r="H1155" s="209"/>
      <c r="I1155" s="210"/>
      <c r="J1155" s="210"/>
      <c r="K1155" s="260"/>
      <c r="L1155" s="260"/>
      <c r="M1155" s="260"/>
      <c r="N1155" s="260"/>
      <c r="O1155" s="260"/>
      <c r="P1155" s="211"/>
      <c r="Q1155" s="261"/>
      <c r="R1155" s="208" t="str">
        <f ca="1">IF(ISERROR($V1155),"",OFFSET('Smelter Look-up'!$C$4,$V1155-4,0)&amp;"")</f>
        <v/>
      </c>
      <c r="S1155" s="215" t="str">
        <f t="shared" ca="1" si="165"/>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si="166"/>
        <v>0</v>
      </c>
      <c r="Y1155" s="263"/>
      <c r="Z1155" s="263"/>
      <c r="AB1155" s="265" t="str">
        <f t="shared" si="167"/>
        <v/>
      </c>
    </row>
    <row r="1156" spans="1:28" s="264" customFormat="1" ht="20.399999999999999">
      <c r="A1156" s="207"/>
      <c r="B1156" s="208"/>
      <c r="C1156" s="212"/>
      <c r="D1156" s="270"/>
      <c r="E1156" s="208"/>
      <c r="F1156" s="208"/>
      <c r="G1156" s="208"/>
      <c r="H1156" s="209"/>
      <c r="I1156" s="210"/>
      <c r="J1156" s="210"/>
      <c r="K1156" s="260"/>
      <c r="L1156" s="260"/>
      <c r="M1156" s="260"/>
      <c r="N1156" s="260"/>
      <c r="O1156" s="260"/>
      <c r="P1156" s="211"/>
      <c r="Q1156" s="261"/>
      <c r="R1156" s="208" t="str">
        <f ca="1">IF(ISERROR($V1156),"",OFFSET('Smelter Look-up'!$C$4,$V1156-4,0)&amp;"")</f>
        <v/>
      </c>
      <c r="S1156" s="215" t="str">
        <f t="shared" ca="1" si="165"/>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si="166"/>
        <v>0</v>
      </c>
      <c r="Y1156" s="263"/>
      <c r="Z1156" s="263"/>
      <c r="AB1156" s="265" t="str">
        <f t="shared" si="167"/>
        <v/>
      </c>
    </row>
    <row r="1157" spans="1:28" s="264" customFormat="1" ht="20.399999999999999">
      <c r="A1157" s="207"/>
      <c r="B1157" s="208"/>
      <c r="C1157" s="212"/>
      <c r="D1157" s="270"/>
      <c r="E1157" s="208"/>
      <c r="F1157" s="208"/>
      <c r="G1157" s="208"/>
      <c r="H1157" s="209"/>
      <c r="I1157" s="210"/>
      <c r="J1157" s="210"/>
      <c r="K1157" s="260"/>
      <c r="L1157" s="260"/>
      <c r="M1157" s="260"/>
      <c r="N1157" s="260"/>
      <c r="O1157" s="260"/>
      <c r="P1157" s="211"/>
      <c r="Q1157" s="261"/>
      <c r="R1157" s="208" t="str">
        <f ca="1">IF(ISERROR($V1157),"",OFFSET('Smelter Look-up'!$C$4,$V1157-4,0)&amp;"")</f>
        <v/>
      </c>
      <c r="S1157" s="215" t="str">
        <f t="shared" ca="1" si="165"/>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si="166"/>
        <v>0</v>
      </c>
      <c r="Y1157" s="263"/>
      <c r="Z1157" s="263"/>
      <c r="AB1157" s="265" t="str">
        <f t="shared" si="167"/>
        <v/>
      </c>
    </row>
    <row r="1158" spans="1:28" s="264" customFormat="1" ht="20.399999999999999">
      <c r="A1158" s="207"/>
      <c r="B1158" s="208"/>
      <c r="C1158" s="212"/>
      <c r="D1158" s="270"/>
      <c r="E1158" s="208"/>
      <c r="F1158" s="208"/>
      <c r="G1158" s="208"/>
      <c r="H1158" s="209"/>
      <c r="I1158" s="210"/>
      <c r="J1158" s="210"/>
      <c r="K1158" s="260"/>
      <c r="L1158" s="260"/>
      <c r="M1158" s="260"/>
      <c r="N1158" s="260"/>
      <c r="O1158" s="260"/>
      <c r="P1158" s="211"/>
      <c r="Q1158" s="261"/>
      <c r="R1158" s="208" t="str">
        <f ca="1">IF(ISERROR($V1158),"",OFFSET('Smelter Look-up'!$C$4,$V1158-4,0)&amp;"")</f>
        <v/>
      </c>
      <c r="S1158" s="215" t="str">
        <f t="shared" ca="1" si="165"/>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si="166"/>
        <v>0</v>
      </c>
      <c r="Y1158" s="263"/>
      <c r="Z1158" s="263"/>
      <c r="AB1158" s="265" t="str">
        <f t="shared" si="167"/>
        <v/>
      </c>
    </row>
    <row r="1159" spans="1:28" s="264" customFormat="1" ht="20.399999999999999">
      <c r="A1159" s="207"/>
      <c r="B1159" s="208"/>
      <c r="C1159" s="212"/>
      <c r="D1159" s="270"/>
      <c r="E1159" s="208"/>
      <c r="F1159" s="208"/>
      <c r="G1159" s="208"/>
      <c r="H1159" s="209"/>
      <c r="I1159" s="210"/>
      <c r="J1159" s="210"/>
      <c r="K1159" s="260"/>
      <c r="L1159" s="260"/>
      <c r="M1159" s="260"/>
      <c r="N1159" s="260"/>
      <c r="O1159" s="260"/>
      <c r="P1159" s="211"/>
      <c r="Q1159" s="261"/>
      <c r="R1159" s="208" t="str">
        <f ca="1">IF(ISERROR($V1159),"",OFFSET('Smelter Look-up'!$C$4,$V1159-4,0)&amp;"")</f>
        <v/>
      </c>
      <c r="S1159" s="215" t="str">
        <f t="shared" ca="1" si="165"/>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si="166"/>
        <v>0</v>
      </c>
      <c r="Y1159" s="263"/>
      <c r="Z1159" s="263"/>
      <c r="AB1159" s="265" t="str">
        <f t="shared" si="167"/>
        <v/>
      </c>
    </row>
    <row r="1160" spans="1:28" s="264" customFormat="1" ht="20.399999999999999">
      <c r="A1160" s="207"/>
      <c r="B1160" s="208"/>
      <c r="C1160" s="212"/>
      <c r="D1160" s="270"/>
      <c r="E1160" s="208"/>
      <c r="F1160" s="208"/>
      <c r="G1160" s="208"/>
      <c r="H1160" s="209"/>
      <c r="I1160" s="210"/>
      <c r="J1160" s="210"/>
      <c r="K1160" s="260"/>
      <c r="L1160" s="260"/>
      <c r="M1160" s="260"/>
      <c r="N1160" s="260"/>
      <c r="O1160" s="260"/>
      <c r="P1160" s="211"/>
      <c r="Q1160" s="261"/>
      <c r="R1160" s="208" t="str">
        <f ca="1">IF(ISERROR($V1160),"",OFFSET('Smelter Look-up'!$C$4,$V1160-4,0)&amp;"")</f>
        <v/>
      </c>
      <c r="S1160" s="215" t="str">
        <f t="shared" ca="1" si="165"/>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si="166"/>
        <v>0</v>
      </c>
      <c r="Y1160" s="263"/>
      <c r="Z1160" s="263"/>
      <c r="AB1160" s="265" t="str">
        <f t="shared" si="167"/>
        <v/>
      </c>
    </row>
    <row r="1161" spans="1:28" s="264" customFormat="1" ht="20.399999999999999">
      <c r="A1161" s="207"/>
      <c r="B1161" s="208"/>
      <c r="C1161" s="212"/>
      <c r="D1161" s="270"/>
      <c r="E1161" s="208"/>
      <c r="F1161" s="208"/>
      <c r="G1161" s="208"/>
      <c r="H1161" s="209"/>
      <c r="I1161" s="210"/>
      <c r="J1161" s="210"/>
      <c r="K1161" s="260"/>
      <c r="L1161" s="260"/>
      <c r="M1161" s="260"/>
      <c r="N1161" s="260"/>
      <c r="O1161" s="260"/>
      <c r="P1161" s="211"/>
      <c r="Q1161" s="261"/>
      <c r="R1161" s="208" t="str">
        <f ca="1">IF(ISERROR($V1161),"",OFFSET('Smelter Look-up'!$C$4,$V1161-4,0)&amp;"")</f>
        <v/>
      </c>
      <c r="S1161" s="215" t="str">
        <f t="shared" ca="1" si="165"/>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si="166"/>
        <v>0</v>
      </c>
      <c r="Y1161" s="263"/>
      <c r="Z1161" s="263"/>
      <c r="AB1161" s="265" t="str">
        <f t="shared" si="167"/>
        <v/>
      </c>
    </row>
    <row r="1162" spans="1:28" s="264" customFormat="1" ht="20.399999999999999">
      <c r="A1162" s="207"/>
      <c r="B1162" s="208"/>
      <c r="C1162" s="212"/>
      <c r="D1162" s="270"/>
      <c r="E1162" s="208"/>
      <c r="F1162" s="208"/>
      <c r="G1162" s="208"/>
      <c r="H1162" s="209"/>
      <c r="I1162" s="210"/>
      <c r="J1162" s="210"/>
      <c r="K1162" s="260"/>
      <c r="L1162" s="260"/>
      <c r="M1162" s="260"/>
      <c r="N1162" s="260"/>
      <c r="O1162" s="260"/>
      <c r="P1162" s="211"/>
      <c r="Q1162" s="261"/>
      <c r="R1162" s="208" t="str">
        <f ca="1">IF(ISERROR($V1162),"",OFFSET('Smelter Look-up'!$C$4,$V1162-4,0)&amp;"")</f>
        <v/>
      </c>
      <c r="S1162" s="215" t="str">
        <f t="shared" ca="1" si="165"/>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si="166"/>
        <v>0</v>
      </c>
      <c r="Y1162" s="263"/>
      <c r="Z1162" s="263"/>
      <c r="AB1162" s="265" t="str">
        <f t="shared" si="167"/>
        <v/>
      </c>
    </row>
    <row r="1163" spans="1:28" s="264" customFormat="1" ht="20.399999999999999">
      <c r="A1163" s="207"/>
      <c r="B1163" s="208"/>
      <c r="C1163" s="212"/>
      <c r="D1163" s="270"/>
      <c r="E1163" s="208"/>
      <c r="F1163" s="208"/>
      <c r="G1163" s="208"/>
      <c r="H1163" s="209"/>
      <c r="I1163" s="210"/>
      <c r="J1163" s="210"/>
      <c r="K1163" s="260"/>
      <c r="L1163" s="260"/>
      <c r="M1163" s="260"/>
      <c r="N1163" s="260"/>
      <c r="O1163" s="260"/>
      <c r="P1163" s="211"/>
      <c r="Q1163" s="261"/>
      <c r="R1163" s="208" t="str">
        <f ca="1">IF(ISERROR($V1163),"",OFFSET('Smelter Look-up'!$C$4,$V1163-4,0)&amp;"")</f>
        <v/>
      </c>
      <c r="S1163" s="215" t="str">
        <f t="shared" ca="1" si="165"/>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si="166"/>
        <v>0</v>
      </c>
      <c r="Y1163" s="263"/>
      <c r="Z1163" s="263"/>
      <c r="AB1163" s="265" t="str">
        <f t="shared" si="167"/>
        <v/>
      </c>
    </row>
    <row r="1164" spans="1:28" s="264" customFormat="1" ht="20.399999999999999">
      <c r="A1164" s="207"/>
      <c r="B1164" s="208"/>
      <c r="C1164" s="212"/>
      <c r="D1164" s="270"/>
      <c r="E1164" s="208"/>
      <c r="F1164" s="208"/>
      <c r="G1164" s="208"/>
      <c r="H1164" s="209"/>
      <c r="I1164" s="210"/>
      <c r="J1164" s="210"/>
      <c r="K1164" s="260"/>
      <c r="L1164" s="260"/>
      <c r="M1164" s="260"/>
      <c r="N1164" s="260"/>
      <c r="O1164" s="260"/>
      <c r="P1164" s="211"/>
      <c r="Q1164" s="261"/>
      <c r="R1164" s="208" t="str">
        <f ca="1">IF(ISERROR($V1164),"",OFFSET('Smelter Look-up'!$C$4,$V1164-4,0)&amp;"")</f>
        <v/>
      </c>
      <c r="S1164" s="215" t="str">
        <f t="shared" ca="1" si="165"/>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si="166"/>
        <v>0</v>
      </c>
      <c r="Y1164" s="263"/>
      <c r="Z1164" s="263"/>
      <c r="AB1164" s="265" t="str">
        <f t="shared" si="167"/>
        <v/>
      </c>
    </row>
    <row r="1165" spans="1:28" s="264" customFormat="1" ht="20.399999999999999">
      <c r="A1165" s="207"/>
      <c r="B1165" s="208"/>
      <c r="C1165" s="212"/>
      <c r="D1165" s="270"/>
      <c r="E1165" s="208"/>
      <c r="F1165" s="208"/>
      <c r="G1165" s="208"/>
      <c r="H1165" s="209"/>
      <c r="I1165" s="210"/>
      <c r="J1165" s="210"/>
      <c r="K1165" s="260"/>
      <c r="L1165" s="260"/>
      <c r="M1165" s="260"/>
      <c r="N1165" s="260"/>
      <c r="O1165" s="260"/>
      <c r="P1165" s="211"/>
      <c r="Q1165" s="261"/>
      <c r="R1165" s="208" t="str">
        <f ca="1">IF(ISERROR($V1165),"",OFFSET('Smelter Look-up'!$C$4,$V1165-4,0)&amp;"")</f>
        <v/>
      </c>
      <c r="S1165" s="215" t="str">
        <f t="shared" ca="1" si="165"/>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si="166"/>
        <v>0</v>
      </c>
      <c r="Y1165" s="263"/>
      <c r="Z1165" s="263"/>
      <c r="AB1165" s="265" t="str">
        <f t="shared" si="167"/>
        <v/>
      </c>
    </row>
    <row r="1166" spans="1:28" s="264" customFormat="1" ht="20.399999999999999">
      <c r="A1166" s="207"/>
      <c r="B1166" s="208"/>
      <c r="C1166" s="212"/>
      <c r="D1166" s="270"/>
      <c r="E1166" s="208"/>
      <c r="F1166" s="208"/>
      <c r="G1166" s="208"/>
      <c r="H1166" s="209"/>
      <c r="I1166" s="210"/>
      <c r="J1166" s="210"/>
      <c r="K1166" s="260"/>
      <c r="L1166" s="260"/>
      <c r="M1166" s="260"/>
      <c r="N1166" s="260"/>
      <c r="O1166" s="260"/>
      <c r="P1166" s="211"/>
      <c r="Q1166" s="261"/>
      <c r="R1166" s="208" t="str">
        <f ca="1">IF(ISERROR($V1166),"",OFFSET('Smelter Look-up'!$C$4,$V1166-4,0)&amp;"")</f>
        <v/>
      </c>
      <c r="S1166" s="215" t="str">
        <f t="shared" ca="1" si="165"/>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si="166"/>
        <v>0</v>
      </c>
      <c r="Y1166" s="263"/>
      <c r="Z1166" s="263"/>
      <c r="AB1166" s="265" t="str">
        <f t="shared" si="167"/>
        <v/>
      </c>
    </row>
    <row r="1167" spans="1:28" s="264" customFormat="1" ht="20.399999999999999">
      <c r="A1167" s="207"/>
      <c r="B1167" s="208"/>
      <c r="C1167" s="212"/>
      <c r="D1167" s="270"/>
      <c r="E1167" s="208"/>
      <c r="F1167" s="208"/>
      <c r="G1167" s="208"/>
      <c r="H1167" s="209"/>
      <c r="I1167" s="210"/>
      <c r="J1167" s="210"/>
      <c r="K1167" s="260"/>
      <c r="L1167" s="260"/>
      <c r="M1167" s="260"/>
      <c r="N1167" s="260"/>
      <c r="O1167" s="260"/>
      <c r="P1167" s="211"/>
      <c r="Q1167" s="261"/>
      <c r="R1167" s="208" t="str">
        <f ca="1">IF(ISERROR($V1167),"",OFFSET('Smelter Look-up'!$C$4,$V1167-4,0)&amp;"")</f>
        <v/>
      </c>
      <c r="S1167" s="215" t="str">
        <f t="shared" ca="1" si="165"/>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si="166"/>
        <v>0</v>
      </c>
      <c r="Y1167" s="263"/>
      <c r="Z1167" s="263"/>
      <c r="AB1167" s="265" t="str">
        <f t="shared" si="167"/>
        <v/>
      </c>
    </row>
    <row r="1168" spans="1:28" s="264" customFormat="1" ht="20.399999999999999">
      <c r="A1168" s="207"/>
      <c r="B1168" s="208"/>
      <c r="C1168" s="212"/>
      <c r="D1168" s="270"/>
      <c r="E1168" s="208"/>
      <c r="F1168" s="208"/>
      <c r="G1168" s="208"/>
      <c r="H1168" s="209"/>
      <c r="I1168" s="210"/>
      <c r="J1168" s="210"/>
      <c r="K1168" s="260"/>
      <c r="L1168" s="260"/>
      <c r="M1168" s="260"/>
      <c r="N1168" s="260"/>
      <c r="O1168" s="260"/>
      <c r="P1168" s="211"/>
      <c r="Q1168" s="261"/>
      <c r="R1168" s="208" t="str">
        <f ca="1">IF(ISERROR($V1168),"",OFFSET('Smelter Look-up'!$C$4,$V1168-4,0)&amp;"")</f>
        <v/>
      </c>
      <c r="S1168" s="215" t="str">
        <f t="shared" ca="1" si="165"/>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si="166"/>
        <v>0</v>
      </c>
      <c r="Y1168" s="263"/>
      <c r="Z1168" s="263"/>
      <c r="AB1168" s="265" t="str">
        <f t="shared" si="167"/>
        <v/>
      </c>
    </row>
    <row r="1169" spans="1:28" s="264" customFormat="1" ht="20.399999999999999">
      <c r="A1169" s="207"/>
      <c r="B1169" s="208"/>
      <c r="C1169" s="212"/>
      <c r="D1169" s="270"/>
      <c r="E1169" s="208"/>
      <c r="F1169" s="208"/>
      <c r="G1169" s="208"/>
      <c r="H1169" s="209"/>
      <c r="I1169" s="210"/>
      <c r="J1169" s="210"/>
      <c r="K1169" s="260"/>
      <c r="L1169" s="260"/>
      <c r="M1169" s="260"/>
      <c r="N1169" s="260"/>
      <c r="O1169" s="260"/>
      <c r="P1169" s="211"/>
      <c r="Q1169" s="261"/>
      <c r="R1169" s="208" t="str">
        <f ca="1">IF(ISERROR($V1169),"",OFFSET('Smelter Look-up'!$C$4,$V1169-4,0)&amp;"")</f>
        <v/>
      </c>
      <c r="S1169" s="215" t="str">
        <f t="shared" ca="1" si="165"/>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si="166"/>
        <v>0</v>
      </c>
      <c r="Y1169" s="263"/>
      <c r="Z1169" s="263"/>
      <c r="AB1169" s="265" t="str">
        <f t="shared" si="167"/>
        <v/>
      </c>
    </row>
    <row r="1170" spans="1:28" s="264" customFormat="1" ht="20.399999999999999">
      <c r="A1170" s="207"/>
      <c r="B1170" s="208"/>
      <c r="C1170" s="212"/>
      <c r="D1170" s="270"/>
      <c r="E1170" s="208"/>
      <c r="F1170" s="208"/>
      <c r="G1170" s="208"/>
      <c r="H1170" s="209"/>
      <c r="I1170" s="210"/>
      <c r="J1170" s="210"/>
      <c r="K1170" s="260"/>
      <c r="L1170" s="260"/>
      <c r="M1170" s="260"/>
      <c r="N1170" s="260"/>
      <c r="O1170" s="260"/>
      <c r="P1170" s="211"/>
      <c r="Q1170" s="261"/>
      <c r="R1170" s="208" t="str">
        <f ca="1">IF(ISERROR($V1170),"",OFFSET('Smelter Look-up'!$C$4,$V1170-4,0)&amp;"")</f>
        <v/>
      </c>
      <c r="S1170" s="215" t="str">
        <f t="shared" ca="1" si="165"/>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si="166"/>
        <v>0</v>
      </c>
      <c r="Y1170" s="263"/>
      <c r="Z1170" s="263"/>
      <c r="AB1170" s="265" t="str">
        <f t="shared" si="167"/>
        <v/>
      </c>
    </row>
    <row r="1171" spans="1:28" s="264" customFormat="1" ht="20.399999999999999">
      <c r="A1171" s="207"/>
      <c r="B1171" s="208"/>
      <c r="C1171" s="212"/>
      <c r="D1171" s="270"/>
      <c r="E1171" s="208"/>
      <c r="F1171" s="208"/>
      <c r="G1171" s="208"/>
      <c r="H1171" s="209"/>
      <c r="I1171" s="210"/>
      <c r="J1171" s="210"/>
      <c r="K1171" s="260"/>
      <c r="L1171" s="260"/>
      <c r="M1171" s="260"/>
      <c r="N1171" s="260"/>
      <c r="O1171" s="260"/>
      <c r="P1171" s="211"/>
      <c r="Q1171" s="261"/>
      <c r="R1171" s="208" t="str">
        <f ca="1">IF(ISERROR($V1171),"",OFFSET('Smelter Look-up'!$C$4,$V1171-4,0)&amp;"")</f>
        <v/>
      </c>
      <c r="S1171" s="215" t="str">
        <f t="shared" ca="1" si="165"/>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si="166"/>
        <v>0</v>
      </c>
      <c r="Y1171" s="263"/>
      <c r="Z1171" s="263"/>
      <c r="AB1171" s="265" t="str">
        <f t="shared" si="167"/>
        <v/>
      </c>
    </row>
    <row r="1172" spans="1:28" s="264" customFormat="1" ht="20.399999999999999">
      <c r="A1172" s="207"/>
      <c r="B1172" s="208"/>
      <c r="C1172" s="212"/>
      <c r="D1172" s="270"/>
      <c r="E1172" s="208"/>
      <c r="F1172" s="208"/>
      <c r="G1172" s="208"/>
      <c r="H1172" s="209"/>
      <c r="I1172" s="210"/>
      <c r="J1172" s="210"/>
      <c r="K1172" s="260"/>
      <c r="L1172" s="260"/>
      <c r="M1172" s="260"/>
      <c r="N1172" s="260"/>
      <c r="O1172" s="260"/>
      <c r="P1172" s="211"/>
      <c r="Q1172" s="261"/>
      <c r="R1172" s="208" t="str">
        <f ca="1">IF(ISERROR($V1172),"",OFFSET('Smelter Look-up'!$C$4,$V1172-4,0)&amp;"")</f>
        <v/>
      </c>
      <c r="S1172" s="215" t="str">
        <f t="shared" ca="1" si="165"/>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si="166"/>
        <v>0</v>
      </c>
      <c r="Y1172" s="263"/>
      <c r="Z1172" s="263"/>
      <c r="AB1172" s="265" t="str">
        <f t="shared" si="167"/>
        <v/>
      </c>
    </row>
    <row r="1173" spans="1:28" s="264" customFormat="1" ht="20.399999999999999">
      <c r="A1173" s="207"/>
      <c r="B1173" s="208"/>
      <c r="C1173" s="212"/>
      <c r="D1173" s="270"/>
      <c r="E1173" s="208"/>
      <c r="F1173" s="208"/>
      <c r="G1173" s="208"/>
      <c r="H1173" s="209"/>
      <c r="I1173" s="210"/>
      <c r="J1173" s="210"/>
      <c r="K1173" s="260"/>
      <c r="L1173" s="260"/>
      <c r="M1173" s="260"/>
      <c r="N1173" s="260"/>
      <c r="O1173" s="260"/>
      <c r="P1173" s="211"/>
      <c r="Q1173" s="261"/>
      <c r="R1173" s="208" t="str">
        <f ca="1">IF(ISERROR($V1173),"",OFFSET('Smelter Look-up'!$C$4,$V1173-4,0)&amp;"")</f>
        <v/>
      </c>
      <c r="S1173" s="215" t="str">
        <f t="shared" ca="1" si="165"/>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si="166"/>
        <v>0</v>
      </c>
      <c r="Y1173" s="263"/>
      <c r="Z1173" s="263"/>
      <c r="AB1173" s="265" t="str">
        <f t="shared" si="167"/>
        <v/>
      </c>
    </row>
    <row r="1174" spans="1:28" s="264" customFormat="1" ht="20.399999999999999">
      <c r="A1174" s="207"/>
      <c r="B1174" s="208"/>
      <c r="C1174" s="212"/>
      <c r="D1174" s="270"/>
      <c r="E1174" s="208"/>
      <c r="F1174" s="208"/>
      <c r="G1174" s="208"/>
      <c r="H1174" s="209"/>
      <c r="I1174" s="210"/>
      <c r="J1174" s="210"/>
      <c r="K1174" s="260"/>
      <c r="L1174" s="260"/>
      <c r="M1174" s="260"/>
      <c r="N1174" s="260"/>
      <c r="O1174" s="260"/>
      <c r="P1174" s="211"/>
      <c r="Q1174" s="261"/>
      <c r="R1174" s="208" t="str">
        <f ca="1">IF(ISERROR($V1174),"",OFFSET('Smelter Look-up'!$C$4,$V1174-4,0)&amp;"")</f>
        <v/>
      </c>
      <c r="S1174" s="215" t="str">
        <f t="shared" ca="1" si="165"/>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si="166"/>
        <v>0</v>
      </c>
      <c r="Y1174" s="263"/>
      <c r="Z1174" s="263"/>
      <c r="AB1174" s="265" t="str">
        <f t="shared" si="167"/>
        <v/>
      </c>
    </row>
    <row r="1175" spans="1:28" s="264" customFormat="1" ht="20.399999999999999">
      <c r="A1175" s="207"/>
      <c r="B1175" s="208"/>
      <c r="C1175" s="212"/>
      <c r="D1175" s="270"/>
      <c r="E1175" s="208"/>
      <c r="F1175" s="208"/>
      <c r="G1175" s="208"/>
      <c r="H1175" s="209"/>
      <c r="I1175" s="210"/>
      <c r="J1175" s="210"/>
      <c r="K1175" s="260"/>
      <c r="L1175" s="260"/>
      <c r="M1175" s="260"/>
      <c r="N1175" s="260"/>
      <c r="O1175" s="260"/>
      <c r="P1175" s="211"/>
      <c r="Q1175" s="261"/>
      <c r="R1175" s="208" t="str">
        <f ca="1">IF(ISERROR($V1175),"",OFFSET('Smelter Look-up'!$C$4,$V1175-4,0)&amp;"")</f>
        <v/>
      </c>
      <c r="S1175" s="215" t="str">
        <f t="shared" ca="1" si="165"/>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si="166"/>
        <v>0</v>
      </c>
      <c r="Y1175" s="263"/>
      <c r="Z1175" s="263"/>
      <c r="AB1175" s="265" t="str">
        <f t="shared" si="167"/>
        <v/>
      </c>
    </row>
    <row r="1176" spans="1:28" s="264" customFormat="1" ht="20.399999999999999">
      <c r="A1176" s="207"/>
      <c r="B1176" s="208"/>
      <c r="C1176" s="212"/>
      <c r="D1176" s="270"/>
      <c r="E1176" s="208"/>
      <c r="F1176" s="208"/>
      <c r="G1176" s="208"/>
      <c r="H1176" s="209"/>
      <c r="I1176" s="210"/>
      <c r="J1176" s="210"/>
      <c r="K1176" s="260"/>
      <c r="L1176" s="260"/>
      <c r="M1176" s="260"/>
      <c r="N1176" s="260"/>
      <c r="O1176" s="260"/>
      <c r="P1176" s="211"/>
      <c r="Q1176" s="261"/>
      <c r="R1176" s="208" t="str">
        <f ca="1">IF(ISERROR($V1176),"",OFFSET('Smelter Look-up'!$C$4,$V1176-4,0)&amp;"")</f>
        <v/>
      </c>
      <c r="S1176" s="215" t="str">
        <f t="shared" ca="1" si="165"/>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si="166"/>
        <v>0</v>
      </c>
      <c r="Y1176" s="263"/>
      <c r="Z1176" s="263"/>
      <c r="AB1176" s="265" t="str">
        <f t="shared" si="167"/>
        <v/>
      </c>
    </row>
    <row r="1177" spans="1:28" s="264" customFormat="1" ht="20.399999999999999">
      <c r="A1177" s="207"/>
      <c r="B1177" s="208"/>
      <c r="C1177" s="212"/>
      <c r="D1177" s="270"/>
      <c r="E1177" s="208"/>
      <c r="F1177" s="208"/>
      <c r="G1177" s="208"/>
      <c r="H1177" s="209"/>
      <c r="I1177" s="210"/>
      <c r="J1177" s="210"/>
      <c r="K1177" s="260"/>
      <c r="L1177" s="260"/>
      <c r="M1177" s="260"/>
      <c r="N1177" s="260"/>
      <c r="O1177" s="260"/>
      <c r="P1177" s="211"/>
      <c r="Q1177" s="261"/>
      <c r="R1177" s="208" t="str">
        <f ca="1">IF(ISERROR($V1177),"",OFFSET('Smelter Look-up'!$C$4,$V1177-4,0)&amp;"")</f>
        <v/>
      </c>
      <c r="S1177" s="215" t="str">
        <f t="shared" ca="1" si="165"/>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si="166"/>
        <v>0</v>
      </c>
      <c r="Y1177" s="263"/>
      <c r="Z1177" s="263"/>
      <c r="AB1177" s="265" t="str">
        <f t="shared" si="167"/>
        <v/>
      </c>
    </row>
    <row r="1178" spans="1:28" s="264" customFormat="1" ht="20.399999999999999">
      <c r="A1178" s="207"/>
      <c r="B1178" s="208"/>
      <c r="C1178" s="212"/>
      <c r="D1178" s="270"/>
      <c r="E1178" s="208"/>
      <c r="F1178" s="208"/>
      <c r="G1178" s="208"/>
      <c r="H1178" s="209"/>
      <c r="I1178" s="210"/>
      <c r="J1178" s="210"/>
      <c r="K1178" s="260"/>
      <c r="L1178" s="260"/>
      <c r="M1178" s="260"/>
      <c r="N1178" s="260"/>
      <c r="O1178" s="260"/>
      <c r="P1178" s="211"/>
      <c r="Q1178" s="261"/>
      <c r="R1178" s="208" t="str">
        <f ca="1">IF(ISERROR($V1178),"",OFFSET('Smelter Look-up'!$C$4,$V1178-4,0)&amp;"")</f>
        <v/>
      </c>
      <c r="S1178" s="215" t="str">
        <f t="shared" ca="1" si="165"/>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si="166"/>
        <v>0</v>
      </c>
      <c r="Y1178" s="263"/>
      <c r="Z1178" s="263"/>
      <c r="AB1178" s="265" t="str">
        <f t="shared" si="167"/>
        <v/>
      </c>
    </row>
    <row r="1179" spans="1:28" s="264" customFormat="1" ht="20.399999999999999">
      <c r="A1179" s="207"/>
      <c r="B1179" s="208"/>
      <c r="C1179" s="212"/>
      <c r="D1179" s="270"/>
      <c r="E1179" s="208"/>
      <c r="F1179" s="208"/>
      <c r="G1179" s="208"/>
      <c r="H1179" s="209"/>
      <c r="I1179" s="210"/>
      <c r="J1179" s="210"/>
      <c r="K1179" s="260"/>
      <c r="L1179" s="260"/>
      <c r="M1179" s="260"/>
      <c r="N1179" s="260"/>
      <c r="O1179" s="260"/>
      <c r="P1179" s="211"/>
      <c r="Q1179" s="261"/>
      <c r="R1179" s="208" t="str">
        <f ca="1">IF(ISERROR($V1179),"",OFFSET('Smelter Look-up'!$C$4,$V1179-4,0)&amp;"")</f>
        <v/>
      </c>
      <c r="S1179" s="215" t="str">
        <f t="shared" ca="1" si="165"/>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si="166"/>
        <v>0</v>
      </c>
      <c r="Y1179" s="263"/>
      <c r="Z1179" s="263"/>
      <c r="AB1179" s="265" t="str">
        <f t="shared" si="167"/>
        <v/>
      </c>
    </row>
    <row r="1180" spans="1:28" s="264" customFormat="1" ht="20.399999999999999">
      <c r="A1180" s="207"/>
      <c r="B1180" s="208"/>
      <c r="C1180" s="212"/>
      <c r="D1180" s="270"/>
      <c r="E1180" s="208"/>
      <c r="F1180" s="208"/>
      <c r="G1180" s="208"/>
      <c r="H1180" s="209"/>
      <c r="I1180" s="210"/>
      <c r="J1180" s="210"/>
      <c r="K1180" s="260"/>
      <c r="L1180" s="260"/>
      <c r="M1180" s="260"/>
      <c r="N1180" s="260"/>
      <c r="O1180" s="260"/>
      <c r="P1180" s="211"/>
      <c r="Q1180" s="261"/>
      <c r="R1180" s="208" t="str">
        <f ca="1">IF(ISERROR($V1180),"",OFFSET('Smelter Look-up'!$C$4,$V1180-4,0)&amp;"")</f>
        <v/>
      </c>
      <c r="S1180" s="215" t="str">
        <f t="shared" ref="S1180:S1210" ca="1" si="168">IF(B1180="","",IF(ISERROR(MATCH($E1180,CL,0)),"Unknown",INDIRECT("'C'!$A$"&amp;MATCH($E1180,CL,0)+1)))</f>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ref="X1180:X1210" si="169">IF(AND(C1180="Smelter not listed",OR(LEN(D1180)=0,LEN(E1180)=0)),1,0)</f>
        <v>0</v>
      </c>
      <c r="Y1180" s="263"/>
      <c r="Z1180" s="263"/>
      <c r="AB1180" s="265" t="str">
        <f t="shared" ref="AB1180:AB1210" si="170">B1180&amp;C1180</f>
        <v/>
      </c>
    </row>
    <row r="1181" spans="1:28" s="264" customFormat="1" ht="20.399999999999999">
      <c r="A1181" s="207"/>
      <c r="B1181" s="208"/>
      <c r="C1181" s="212"/>
      <c r="D1181" s="270"/>
      <c r="E1181" s="208"/>
      <c r="F1181" s="208"/>
      <c r="G1181" s="208"/>
      <c r="H1181" s="209"/>
      <c r="I1181" s="210"/>
      <c r="J1181" s="210"/>
      <c r="K1181" s="260"/>
      <c r="L1181" s="260"/>
      <c r="M1181" s="260"/>
      <c r="N1181" s="260"/>
      <c r="O1181" s="260"/>
      <c r="P1181" s="211"/>
      <c r="Q1181" s="261"/>
      <c r="R1181" s="208" t="str">
        <f ca="1">IF(ISERROR($V1181),"",OFFSET('Smelter Look-up'!$C$4,$V1181-4,0)&amp;"")</f>
        <v/>
      </c>
      <c r="S1181" s="215" t="str">
        <f t="shared" ca="1" si="168"/>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si="169"/>
        <v>0</v>
      </c>
      <c r="Y1181" s="263"/>
      <c r="Z1181" s="263"/>
      <c r="AB1181" s="265" t="str">
        <f t="shared" si="170"/>
        <v/>
      </c>
    </row>
    <row r="1182" spans="1:28" s="264" customFormat="1" ht="20.399999999999999">
      <c r="A1182" s="207"/>
      <c r="B1182" s="208"/>
      <c r="C1182" s="212"/>
      <c r="D1182" s="270"/>
      <c r="E1182" s="208"/>
      <c r="F1182" s="208"/>
      <c r="G1182" s="208"/>
      <c r="H1182" s="209"/>
      <c r="I1182" s="210"/>
      <c r="J1182" s="210"/>
      <c r="K1182" s="260"/>
      <c r="L1182" s="260"/>
      <c r="M1182" s="260"/>
      <c r="N1182" s="260"/>
      <c r="O1182" s="260"/>
      <c r="P1182" s="211"/>
      <c r="Q1182" s="261"/>
      <c r="R1182" s="208" t="str">
        <f ca="1">IF(ISERROR($V1182),"",OFFSET('Smelter Look-up'!$C$4,$V1182-4,0)&amp;"")</f>
        <v/>
      </c>
      <c r="S1182" s="215" t="str">
        <f t="shared" ca="1" si="168"/>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si="169"/>
        <v>0</v>
      </c>
      <c r="Y1182" s="263"/>
      <c r="Z1182" s="263"/>
      <c r="AB1182" s="265" t="str">
        <f t="shared" si="170"/>
        <v/>
      </c>
    </row>
    <row r="1183" spans="1:28" s="264" customFormat="1" ht="20.399999999999999">
      <c r="A1183" s="207"/>
      <c r="B1183" s="208"/>
      <c r="C1183" s="212"/>
      <c r="D1183" s="270"/>
      <c r="E1183" s="208"/>
      <c r="F1183" s="208"/>
      <c r="G1183" s="208"/>
      <c r="H1183" s="209"/>
      <c r="I1183" s="210"/>
      <c r="J1183" s="210"/>
      <c r="K1183" s="260"/>
      <c r="L1183" s="260"/>
      <c r="M1183" s="260"/>
      <c r="N1183" s="260"/>
      <c r="O1183" s="260"/>
      <c r="P1183" s="211"/>
      <c r="Q1183" s="261"/>
      <c r="R1183" s="208" t="str">
        <f ca="1">IF(ISERROR($V1183),"",OFFSET('Smelter Look-up'!$C$4,$V1183-4,0)&amp;"")</f>
        <v/>
      </c>
      <c r="S1183" s="215" t="str">
        <f t="shared" ca="1" si="168"/>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si="169"/>
        <v>0</v>
      </c>
      <c r="Y1183" s="263"/>
      <c r="Z1183" s="263"/>
      <c r="AB1183" s="265" t="str">
        <f t="shared" si="170"/>
        <v/>
      </c>
    </row>
    <row r="1184" spans="1:28" s="264" customFormat="1" ht="20.399999999999999">
      <c r="A1184" s="207"/>
      <c r="B1184" s="208"/>
      <c r="C1184" s="212"/>
      <c r="D1184" s="270"/>
      <c r="E1184" s="208"/>
      <c r="F1184" s="208"/>
      <c r="G1184" s="208"/>
      <c r="H1184" s="209"/>
      <c r="I1184" s="210"/>
      <c r="J1184" s="210"/>
      <c r="K1184" s="260"/>
      <c r="L1184" s="260"/>
      <c r="M1184" s="260"/>
      <c r="N1184" s="260"/>
      <c r="O1184" s="260"/>
      <c r="P1184" s="211"/>
      <c r="Q1184" s="261"/>
      <c r="R1184" s="208" t="str">
        <f ca="1">IF(ISERROR($V1184),"",OFFSET('Smelter Look-up'!$C$4,$V1184-4,0)&amp;"")</f>
        <v/>
      </c>
      <c r="S1184" s="215" t="str">
        <f t="shared" ca="1" si="168"/>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si="169"/>
        <v>0</v>
      </c>
      <c r="Y1184" s="263"/>
      <c r="Z1184" s="263"/>
      <c r="AB1184" s="265" t="str">
        <f t="shared" si="170"/>
        <v/>
      </c>
    </row>
    <row r="1185" spans="1:28" s="264" customFormat="1" ht="20.399999999999999">
      <c r="A1185" s="207"/>
      <c r="B1185" s="208"/>
      <c r="C1185" s="212"/>
      <c r="D1185" s="270"/>
      <c r="E1185" s="208"/>
      <c r="F1185" s="208"/>
      <c r="G1185" s="208"/>
      <c r="H1185" s="209"/>
      <c r="I1185" s="210"/>
      <c r="J1185" s="210"/>
      <c r="K1185" s="260"/>
      <c r="L1185" s="260"/>
      <c r="M1185" s="260"/>
      <c r="N1185" s="260"/>
      <c r="O1185" s="260"/>
      <c r="P1185" s="211"/>
      <c r="Q1185" s="261"/>
      <c r="R1185" s="208" t="str">
        <f ca="1">IF(ISERROR($V1185),"",OFFSET('Smelter Look-up'!$C$4,$V1185-4,0)&amp;"")</f>
        <v/>
      </c>
      <c r="S1185" s="215" t="str">
        <f t="shared" ca="1" si="168"/>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si="169"/>
        <v>0</v>
      </c>
      <c r="Y1185" s="263"/>
      <c r="Z1185" s="263"/>
      <c r="AB1185" s="265" t="str">
        <f t="shared" si="170"/>
        <v/>
      </c>
    </row>
    <row r="1186" spans="1:28" s="264" customFormat="1" ht="20.399999999999999">
      <c r="A1186" s="207"/>
      <c r="B1186" s="208"/>
      <c r="C1186" s="212"/>
      <c r="D1186" s="270"/>
      <c r="E1186" s="208"/>
      <c r="F1186" s="208"/>
      <c r="G1186" s="208"/>
      <c r="H1186" s="209"/>
      <c r="I1186" s="210"/>
      <c r="J1186" s="210"/>
      <c r="K1186" s="260"/>
      <c r="L1186" s="260"/>
      <c r="M1186" s="260"/>
      <c r="N1186" s="260"/>
      <c r="O1186" s="260"/>
      <c r="P1186" s="211"/>
      <c r="Q1186" s="261"/>
      <c r="R1186" s="208" t="str">
        <f ca="1">IF(ISERROR($V1186),"",OFFSET('Smelter Look-up'!$C$4,$V1186-4,0)&amp;"")</f>
        <v/>
      </c>
      <c r="S1186" s="215" t="str">
        <f t="shared" ca="1" si="168"/>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si="169"/>
        <v>0</v>
      </c>
      <c r="Y1186" s="263"/>
      <c r="Z1186" s="263"/>
      <c r="AB1186" s="265" t="str">
        <f t="shared" si="170"/>
        <v/>
      </c>
    </row>
    <row r="1187" spans="1:28" s="264" customFormat="1" ht="20.399999999999999">
      <c r="A1187" s="207"/>
      <c r="B1187" s="208"/>
      <c r="C1187" s="212"/>
      <c r="D1187" s="270"/>
      <c r="E1187" s="208"/>
      <c r="F1187" s="208"/>
      <c r="G1187" s="208"/>
      <c r="H1187" s="209"/>
      <c r="I1187" s="210"/>
      <c r="J1187" s="210"/>
      <c r="K1187" s="260"/>
      <c r="L1187" s="260"/>
      <c r="M1187" s="260"/>
      <c r="N1187" s="260"/>
      <c r="O1187" s="260"/>
      <c r="P1187" s="211"/>
      <c r="Q1187" s="261"/>
      <c r="R1187" s="208" t="str">
        <f ca="1">IF(ISERROR($V1187),"",OFFSET('Smelter Look-up'!$C$4,$V1187-4,0)&amp;"")</f>
        <v/>
      </c>
      <c r="S1187" s="215" t="str">
        <f t="shared" ca="1" si="168"/>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si="169"/>
        <v>0</v>
      </c>
      <c r="Y1187" s="263"/>
      <c r="Z1187" s="263"/>
      <c r="AB1187" s="265" t="str">
        <f t="shared" si="170"/>
        <v/>
      </c>
    </row>
    <row r="1188" spans="1:28" s="264" customFormat="1" ht="20.399999999999999">
      <c r="A1188" s="207"/>
      <c r="B1188" s="208"/>
      <c r="C1188" s="212"/>
      <c r="D1188" s="270"/>
      <c r="E1188" s="208"/>
      <c r="F1188" s="208"/>
      <c r="G1188" s="208"/>
      <c r="H1188" s="209"/>
      <c r="I1188" s="210"/>
      <c r="J1188" s="210"/>
      <c r="K1188" s="260"/>
      <c r="L1188" s="260"/>
      <c r="M1188" s="260"/>
      <c r="N1188" s="260"/>
      <c r="O1188" s="260"/>
      <c r="P1188" s="211"/>
      <c r="Q1188" s="261"/>
      <c r="R1188" s="208" t="str">
        <f ca="1">IF(ISERROR($V1188),"",OFFSET('Smelter Look-up'!$C$4,$V1188-4,0)&amp;"")</f>
        <v/>
      </c>
      <c r="S1188" s="215" t="str">
        <f t="shared" ca="1" si="168"/>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si="169"/>
        <v>0</v>
      </c>
      <c r="Y1188" s="263"/>
      <c r="Z1188" s="263"/>
      <c r="AB1188" s="265" t="str">
        <f t="shared" si="170"/>
        <v/>
      </c>
    </row>
    <row r="1189" spans="1:28" s="264" customFormat="1" ht="20.399999999999999">
      <c r="A1189" s="207"/>
      <c r="B1189" s="208"/>
      <c r="C1189" s="212"/>
      <c r="D1189" s="270"/>
      <c r="E1189" s="208"/>
      <c r="F1189" s="208"/>
      <c r="G1189" s="208"/>
      <c r="H1189" s="209"/>
      <c r="I1189" s="210"/>
      <c r="J1189" s="210"/>
      <c r="K1189" s="260"/>
      <c r="L1189" s="260"/>
      <c r="M1189" s="260"/>
      <c r="N1189" s="260"/>
      <c r="O1189" s="260"/>
      <c r="P1189" s="211"/>
      <c r="Q1189" s="261"/>
      <c r="R1189" s="208" t="str">
        <f ca="1">IF(ISERROR($V1189),"",OFFSET('Smelter Look-up'!$C$4,$V1189-4,0)&amp;"")</f>
        <v/>
      </c>
      <c r="S1189" s="215" t="str">
        <f t="shared" ca="1" si="168"/>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si="169"/>
        <v>0</v>
      </c>
      <c r="Y1189" s="263"/>
      <c r="Z1189" s="263"/>
      <c r="AB1189" s="265" t="str">
        <f t="shared" si="170"/>
        <v/>
      </c>
    </row>
    <row r="1190" spans="1:28" s="264" customFormat="1" ht="20.399999999999999">
      <c r="A1190" s="207"/>
      <c r="B1190" s="208"/>
      <c r="C1190" s="212"/>
      <c r="D1190" s="270"/>
      <c r="E1190" s="208"/>
      <c r="F1190" s="208"/>
      <c r="G1190" s="208"/>
      <c r="H1190" s="209"/>
      <c r="I1190" s="210"/>
      <c r="J1190" s="210"/>
      <c r="K1190" s="260"/>
      <c r="L1190" s="260"/>
      <c r="M1190" s="260"/>
      <c r="N1190" s="260"/>
      <c r="O1190" s="260"/>
      <c r="P1190" s="211"/>
      <c r="Q1190" s="261"/>
      <c r="R1190" s="208" t="str">
        <f ca="1">IF(ISERROR($V1190),"",OFFSET('Smelter Look-up'!$C$4,$V1190-4,0)&amp;"")</f>
        <v/>
      </c>
      <c r="S1190" s="215" t="str">
        <f t="shared" ca="1" si="168"/>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si="169"/>
        <v>0</v>
      </c>
      <c r="Y1190" s="263"/>
      <c r="Z1190" s="263"/>
      <c r="AB1190" s="265" t="str">
        <f t="shared" si="170"/>
        <v/>
      </c>
    </row>
    <row r="1191" spans="1:28" s="264" customFormat="1" ht="20.399999999999999">
      <c r="A1191" s="207"/>
      <c r="B1191" s="208"/>
      <c r="C1191" s="212"/>
      <c r="D1191" s="270"/>
      <c r="E1191" s="208"/>
      <c r="F1191" s="208"/>
      <c r="G1191" s="208"/>
      <c r="H1191" s="209"/>
      <c r="I1191" s="210"/>
      <c r="J1191" s="210"/>
      <c r="K1191" s="260"/>
      <c r="L1191" s="260"/>
      <c r="M1191" s="260"/>
      <c r="N1191" s="260"/>
      <c r="O1191" s="260"/>
      <c r="P1191" s="211"/>
      <c r="Q1191" s="261"/>
      <c r="R1191" s="208" t="str">
        <f ca="1">IF(ISERROR($V1191),"",OFFSET('Smelter Look-up'!$C$4,$V1191-4,0)&amp;"")</f>
        <v/>
      </c>
      <c r="S1191" s="215" t="str">
        <f t="shared" ca="1" si="168"/>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si="169"/>
        <v>0</v>
      </c>
      <c r="Y1191" s="263"/>
      <c r="Z1191" s="263"/>
      <c r="AB1191" s="265" t="str">
        <f t="shared" si="170"/>
        <v/>
      </c>
    </row>
    <row r="1192" spans="1:28" s="264" customFormat="1" ht="20.399999999999999">
      <c r="A1192" s="207"/>
      <c r="B1192" s="208"/>
      <c r="C1192" s="212"/>
      <c r="D1192" s="270"/>
      <c r="E1192" s="208"/>
      <c r="F1192" s="208"/>
      <c r="G1192" s="208"/>
      <c r="H1192" s="209"/>
      <c r="I1192" s="210"/>
      <c r="J1192" s="210"/>
      <c r="K1192" s="260"/>
      <c r="L1192" s="260"/>
      <c r="M1192" s="260"/>
      <c r="N1192" s="260"/>
      <c r="O1192" s="260"/>
      <c r="P1192" s="211"/>
      <c r="Q1192" s="261"/>
      <c r="R1192" s="208" t="str">
        <f ca="1">IF(ISERROR($V1192),"",OFFSET('Smelter Look-up'!$C$4,$V1192-4,0)&amp;"")</f>
        <v/>
      </c>
      <c r="S1192" s="215" t="str">
        <f t="shared" ca="1" si="168"/>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si="169"/>
        <v>0</v>
      </c>
      <c r="Y1192" s="263"/>
      <c r="Z1192" s="263"/>
      <c r="AB1192" s="265" t="str">
        <f t="shared" si="170"/>
        <v/>
      </c>
    </row>
    <row r="1193" spans="1:28" s="264" customFormat="1" ht="20.399999999999999">
      <c r="A1193" s="207"/>
      <c r="B1193" s="208"/>
      <c r="C1193" s="212"/>
      <c r="D1193" s="270"/>
      <c r="E1193" s="208"/>
      <c r="F1193" s="208"/>
      <c r="G1193" s="208"/>
      <c r="H1193" s="209"/>
      <c r="I1193" s="210"/>
      <c r="J1193" s="210"/>
      <c r="K1193" s="260"/>
      <c r="L1193" s="260"/>
      <c r="M1193" s="260"/>
      <c r="N1193" s="260"/>
      <c r="O1193" s="260"/>
      <c r="P1193" s="211"/>
      <c r="Q1193" s="261"/>
      <c r="R1193" s="208" t="str">
        <f ca="1">IF(ISERROR($V1193),"",OFFSET('Smelter Look-up'!$C$4,$V1193-4,0)&amp;"")</f>
        <v/>
      </c>
      <c r="S1193" s="215" t="str">
        <f t="shared" ca="1" si="168"/>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si="169"/>
        <v>0</v>
      </c>
      <c r="Y1193" s="263"/>
      <c r="Z1193" s="263"/>
      <c r="AB1193" s="265" t="str">
        <f t="shared" si="170"/>
        <v/>
      </c>
    </row>
    <row r="1194" spans="1:28" s="264" customFormat="1" ht="20.399999999999999">
      <c r="A1194" s="207"/>
      <c r="B1194" s="208"/>
      <c r="C1194" s="212"/>
      <c r="D1194" s="270"/>
      <c r="E1194" s="208"/>
      <c r="F1194" s="208"/>
      <c r="G1194" s="208"/>
      <c r="H1194" s="209"/>
      <c r="I1194" s="210"/>
      <c r="J1194" s="210"/>
      <c r="K1194" s="260"/>
      <c r="L1194" s="260"/>
      <c r="M1194" s="260"/>
      <c r="N1194" s="260"/>
      <c r="O1194" s="260"/>
      <c r="P1194" s="211"/>
      <c r="Q1194" s="261"/>
      <c r="R1194" s="208" t="str">
        <f ca="1">IF(ISERROR($V1194),"",OFFSET('Smelter Look-up'!$C$4,$V1194-4,0)&amp;"")</f>
        <v/>
      </c>
      <c r="S1194" s="215" t="str">
        <f t="shared" ca="1" si="168"/>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si="169"/>
        <v>0</v>
      </c>
      <c r="Y1194" s="263"/>
      <c r="Z1194" s="263"/>
      <c r="AB1194" s="265" t="str">
        <f t="shared" si="170"/>
        <v/>
      </c>
    </row>
    <row r="1195" spans="1:28" s="264" customFormat="1" ht="20.399999999999999">
      <c r="A1195" s="207"/>
      <c r="B1195" s="208"/>
      <c r="C1195" s="212"/>
      <c r="D1195" s="270"/>
      <c r="E1195" s="208"/>
      <c r="F1195" s="208"/>
      <c r="G1195" s="208"/>
      <c r="H1195" s="209"/>
      <c r="I1195" s="210"/>
      <c r="J1195" s="210"/>
      <c r="K1195" s="260"/>
      <c r="L1195" s="260"/>
      <c r="M1195" s="260"/>
      <c r="N1195" s="260"/>
      <c r="O1195" s="260"/>
      <c r="P1195" s="211"/>
      <c r="Q1195" s="261"/>
      <c r="R1195" s="208" t="str">
        <f ca="1">IF(ISERROR($V1195),"",OFFSET('Smelter Look-up'!$C$4,$V1195-4,0)&amp;"")</f>
        <v/>
      </c>
      <c r="S1195" s="215" t="str">
        <f t="shared" ca="1" si="168"/>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si="169"/>
        <v>0</v>
      </c>
      <c r="Y1195" s="263"/>
      <c r="Z1195" s="263"/>
      <c r="AB1195" s="265" t="str">
        <f t="shared" si="170"/>
        <v/>
      </c>
    </row>
    <row r="1196" spans="1:28" s="264" customFormat="1" ht="20.399999999999999">
      <c r="A1196" s="207"/>
      <c r="B1196" s="208"/>
      <c r="C1196" s="212"/>
      <c r="D1196" s="270"/>
      <c r="E1196" s="208"/>
      <c r="F1196" s="208"/>
      <c r="G1196" s="208"/>
      <c r="H1196" s="209"/>
      <c r="I1196" s="210"/>
      <c r="J1196" s="210"/>
      <c r="K1196" s="260"/>
      <c r="L1196" s="260"/>
      <c r="M1196" s="260"/>
      <c r="N1196" s="260"/>
      <c r="O1196" s="260"/>
      <c r="P1196" s="211"/>
      <c r="Q1196" s="261"/>
      <c r="R1196" s="208" t="str">
        <f ca="1">IF(ISERROR($V1196),"",OFFSET('Smelter Look-up'!$C$4,$V1196-4,0)&amp;"")</f>
        <v/>
      </c>
      <c r="S1196" s="215" t="str">
        <f t="shared" ca="1" si="168"/>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si="169"/>
        <v>0</v>
      </c>
      <c r="Y1196" s="263"/>
      <c r="Z1196" s="263"/>
      <c r="AB1196" s="265" t="str">
        <f t="shared" si="170"/>
        <v/>
      </c>
    </row>
    <row r="1197" spans="1:28" s="264" customFormat="1" ht="20.399999999999999">
      <c r="A1197" s="207"/>
      <c r="B1197" s="208"/>
      <c r="C1197" s="212"/>
      <c r="D1197" s="270"/>
      <c r="E1197" s="208"/>
      <c r="F1197" s="208"/>
      <c r="G1197" s="208"/>
      <c r="H1197" s="209"/>
      <c r="I1197" s="210"/>
      <c r="J1197" s="210"/>
      <c r="K1197" s="260"/>
      <c r="L1197" s="260"/>
      <c r="M1197" s="260"/>
      <c r="N1197" s="260"/>
      <c r="O1197" s="260"/>
      <c r="P1197" s="211"/>
      <c r="Q1197" s="261"/>
      <c r="R1197" s="208" t="str">
        <f ca="1">IF(ISERROR($V1197),"",OFFSET('Smelter Look-up'!$C$4,$V1197-4,0)&amp;"")</f>
        <v/>
      </c>
      <c r="S1197" s="215" t="str">
        <f t="shared" ca="1" si="168"/>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si="169"/>
        <v>0</v>
      </c>
      <c r="Y1197" s="263"/>
      <c r="Z1197" s="263"/>
      <c r="AB1197" s="265" t="str">
        <f t="shared" si="170"/>
        <v/>
      </c>
    </row>
    <row r="1198" spans="1:28" s="264" customFormat="1" ht="20.399999999999999">
      <c r="A1198" s="207"/>
      <c r="B1198" s="208"/>
      <c r="C1198" s="212"/>
      <c r="D1198" s="270"/>
      <c r="E1198" s="208"/>
      <c r="F1198" s="208"/>
      <c r="G1198" s="208"/>
      <c r="H1198" s="209"/>
      <c r="I1198" s="210"/>
      <c r="J1198" s="210"/>
      <c r="K1198" s="260"/>
      <c r="L1198" s="260"/>
      <c r="M1198" s="260"/>
      <c r="N1198" s="260"/>
      <c r="O1198" s="260"/>
      <c r="P1198" s="211"/>
      <c r="Q1198" s="261"/>
      <c r="R1198" s="208" t="str">
        <f ca="1">IF(ISERROR($V1198),"",OFFSET('Smelter Look-up'!$C$4,$V1198-4,0)&amp;"")</f>
        <v/>
      </c>
      <c r="S1198" s="215" t="str">
        <f t="shared" ca="1" si="168"/>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si="169"/>
        <v>0</v>
      </c>
      <c r="Y1198" s="263"/>
      <c r="Z1198" s="263"/>
      <c r="AB1198" s="265" t="str">
        <f t="shared" si="170"/>
        <v/>
      </c>
    </row>
    <row r="1199" spans="1:28" s="264" customFormat="1" ht="20.399999999999999">
      <c r="A1199" s="207"/>
      <c r="B1199" s="208"/>
      <c r="C1199" s="212"/>
      <c r="D1199" s="270"/>
      <c r="E1199" s="208"/>
      <c r="F1199" s="208"/>
      <c r="G1199" s="208"/>
      <c r="H1199" s="209"/>
      <c r="I1199" s="210"/>
      <c r="J1199" s="210"/>
      <c r="K1199" s="260"/>
      <c r="L1199" s="260"/>
      <c r="M1199" s="260"/>
      <c r="N1199" s="260"/>
      <c r="O1199" s="260"/>
      <c r="P1199" s="211"/>
      <c r="Q1199" s="261"/>
      <c r="R1199" s="208" t="str">
        <f ca="1">IF(ISERROR($V1199),"",OFFSET('Smelter Look-up'!$C$4,$V1199-4,0)&amp;"")</f>
        <v/>
      </c>
      <c r="S1199" s="215" t="str">
        <f t="shared" ca="1" si="168"/>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si="169"/>
        <v>0</v>
      </c>
      <c r="Y1199" s="263"/>
      <c r="Z1199" s="263"/>
      <c r="AB1199" s="265" t="str">
        <f t="shared" si="170"/>
        <v/>
      </c>
    </row>
    <row r="1200" spans="1:28" s="264" customFormat="1" ht="20.399999999999999">
      <c r="A1200" s="207"/>
      <c r="B1200" s="208"/>
      <c r="C1200" s="212"/>
      <c r="D1200" s="270"/>
      <c r="E1200" s="208"/>
      <c r="F1200" s="208"/>
      <c r="G1200" s="208"/>
      <c r="H1200" s="209"/>
      <c r="I1200" s="210"/>
      <c r="J1200" s="210"/>
      <c r="K1200" s="260"/>
      <c r="L1200" s="260"/>
      <c r="M1200" s="260"/>
      <c r="N1200" s="260"/>
      <c r="O1200" s="260"/>
      <c r="P1200" s="211"/>
      <c r="Q1200" s="261"/>
      <c r="R1200" s="208" t="str">
        <f ca="1">IF(ISERROR($V1200),"",OFFSET('Smelter Look-up'!$C$4,$V1200-4,0)&amp;"")</f>
        <v/>
      </c>
      <c r="S1200" s="215" t="str">
        <f t="shared" ca="1" si="168"/>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si="169"/>
        <v>0</v>
      </c>
      <c r="Y1200" s="263"/>
      <c r="Z1200" s="263"/>
      <c r="AB1200" s="265" t="str">
        <f t="shared" si="170"/>
        <v/>
      </c>
    </row>
    <row r="1201" spans="1:28" s="264" customFormat="1" ht="20.399999999999999">
      <c r="A1201" s="207"/>
      <c r="B1201" s="208"/>
      <c r="C1201" s="212"/>
      <c r="D1201" s="270"/>
      <c r="E1201" s="208"/>
      <c r="F1201" s="208"/>
      <c r="G1201" s="208"/>
      <c r="H1201" s="209"/>
      <c r="I1201" s="210"/>
      <c r="J1201" s="210"/>
      <c r="K1201" s="260"/>
      <c r="L1201" s="260"/>
      <c r="M1201" s="260"/>
      <c r="N1201" s="260"/>
      <c r="O1201" s="260"/>
      <c r="P1201" s="211"/>
      <c r="Q1201" s="261"/>
      <c r="R1201" s="208" t="str">
        <f ca="1">IF(ISERROR($V1201),"",OFFSET('Smelter Look-up'!$C$4,$V1201-4,0)&amp;"")</f>
        <v/>
      </c>
      <c r="S1201" s="215" t="str">
        <f t="shared" ca="1" si="168"/>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si="169"/>
        <v>0</v>
      </c>
      <c r="Y1201" s="263"/>
      <c r="Z1201" s="263"/>
      <c r="AB1201" s="265" t="str">
        <f t="shared" si="170"/>
        <v/>
      </c>
    </row>
    <row r="1202" spans="1:28" s="264" customFormat="1" ht="20.399999999999999">
      <c r="A1202" s="207"/>
      <c r="B1202" s="208"/>
      <c r="C1202" s="212"/>
      <c r="D1202" s="270"/>
      <c r="E1202" s="208"/>
      <c r="F1202" s="208"/>
      <c r="G1202" s="208"/>
      <c r="H1202" s="209"/>
      <c r="I1202" s="210"/>
      <c r="J1202" s="210"/>
      <c r="K1202" s="260"/>
      <c r="L1202" s="260"/>
      <c r="M1202" s="260"/>
      <c r="N1202" s="260"/>
      <c r="O1202" s="260"/>
      <c r="P1202" s="211"/>
      <c r="Q1202" s="261"/>
      <c r="R1202" s="208" t="str">
        <f ca="1">IF(ISERROR($V1202),"",OFFSET('Smelter Look-up'!$C$4,$V1202-4,0)&amp;"")</f>
        <v/>
      </c>
      <c r="S1202" s="215" t="str">
        <f t="shared" ca="1" si="168"/>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si="169"/>
        <v>0</v>
      </c>
      <c r="Y1202" s="263"/>
      <c r="Z1202" s="263"/>
      <c r="AB1202" s="265" t="str">
        <f t="shared" si="170"/>
        <v/>
      </c>
    </row>
    <row r="1203" spans="1:28" s="264" customFormat="1" ht="20.399999999999999">
      <c r="A1203" s="207"/>
      <c r="B1203" s="208"/>
      <c r="C1203" s="212"/>
      <c r="D1203" s="270"/>
      <c r="E1203" s="208"/>
      <c r="F1203" s="208"/>
      <c r="G1203" s="208"/>
      <c r="H1203" s="209"/>
      <c r="I1203" s="210"/>
      <c r="J1203" s="210"/>
      <c r="K1203" s="260"/>
      <c r="L1203" s="260"/>
      <c r="M1203" s="260"/>
      <c r="N1203" s="260"/>
      <c r="O1203" s="260"/>
      <c r="P1203" s="211"/>
      <c r="Q1203" s="261"/>
      <c r="R1203" s="208" t="str">
        <f ca="1">IF(ISERROR($V1203),"",OFFSET('Smelter Look-up'!$C$4,$V1203-4,0)&amp;"")</f>
        <v/>
      </c>
      <c r="S1203" s="215" t="str">
        <f t="shared" ca="1" si="168"/>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si="169"/>
        <v>0</v>
      </c>
      <c r="Y1203" s="263"/>
      <c r="Z1203" s="263"/>
      <c r="AB1203" s="265" t="str">
        <f t="shared" si="170"/>
        <v/>
      </c>
    </row>
    <row r="1204" spans="1:28" s="264" customFormat="1" ht="20.399999999999999">
      <c r="A1204" s="207"/>
      <c r="B1204" s="208"/>
      <c r="C1204" s="212"/>
      <c r="D1204" s="270"/>
      <c r="E1204" s="208"/>
      <c r="F1204" s="208"/>
      <c r="G1204" s="208"/>
      <c r="H1204" s="209"/>
      <c r="I1204" s="210"/>
      <c r="J1204" s="210"/>
      <c r="K1204" s="260"/>
      <c r="L1204" s="260"/>
      <c r="M1204" s="260"/>
      <c r="N1204" s="260"/>
      <c r="O1204" s="260"/>
      <c r="P1204" s="211"/>
      <c r="Q1204" s="261"/>
      <c r="R1204" s="208" t="str">
        <f ca="1">IF(ISERROR($V1204),"",OFFSET('Smelter Look-up'!$C$4,$V1204-4,0)&amp;"")</f>
        <v/>
      </c>
      <c r="S1204" s="215" t="str">
        <f t="shared" ca="1" si="168"/>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si="169"/>
        <v>0</v>
      </c>
      <c r="Y1204" s="263"/>
      <c r="Z1204" s="263"/>
      <c r="AB1204" s="265" t="str">
        <f t="shared" si="170"/>
        <v/>
      </c>
    </row>
    <row r="1205" spans="1:28" s="264" customFormat="1" ht="20.399999999999999">
      <c r="A1205" s="207"/>
      <c r="B1205" s="208"/>
      <c r="C1205" s="212"/>
      <c r="D1205" s="270"/>
      <c r="E1205" s="208"/>
      <c r="F1205" s="208"/>
      <c r="G1205" s="208"/>
      <c r="H1205" s="209"/>
      <c r="I1205" s="210"/>
      <c r="J1205" s="210"/>
      <c r="K1205" s="260"/>
      <c r="L1205" s="260"/>
      <c r="M1205" s="260"/>
      <c r="N1205" s="260"/>
      <c r="O1205" s="260"/>
      <c r="P1205" s="211"/>
      <c r="Q1205" s="261"/>
      <c r="R1205" s="208" t="str">
        <f ca="1">IF(ISERROR($V1205),"",OFFSET('Smelter Look-up'!$C$4,$V1205-4,0)&amp;"")</f>
        <v/>
      </c>
      <c r="S1205" s="215" t="str">
        <f t="shared" ca="1" si="168"/>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si="169"/>
        <v>0</v>
      </c>
      <c r="Y1205" s="263"/>
      <c r="Z1205" s="263"/>
      <c r="AB1205" s="265" t="str">
        <f t="shared" si="170"/>
        <v/>
      </c>
    </row>
    <row r="1206" spans="1:28" s="264" customFormat="1" ht="20.399999999999999">
      <c r="A1206" s="207"/>
      <c r="B1206" s="208"/>
      <c r="C1206" s="212"/>
      <c r="D1206" s="270"/>
      <c r="E1206" s="208"/>
      <c r="F1206" s="208"/>
      <c r="G1206" s="208"/>
      <c r="H1206" s="209"/>
      <c r="I1206" s="210"/>
      <c r="J1206" s="210"/>
      <c r="K1206" s="260"/>
      <c r="L1206" s="260"/>
      <c r="M1206" s="260"/>
      <c r="N1206" s="260"/>
      <c r="O1206" s="260"/>
      <c r="P1206" s="211"/>
      <c r="Q1206" s="261"/>
      <c r="R1206" s="208" t="str">
        <f ca="1">IF(ISERROR($V1206),"",OFFSET('Smelter Look-up'!$C$4,$V1206-4,0)&amp;"")</f>
        <v/>
      </c>
      <c r="S1206" s="215" t="str">
        <f t="shared" ca="1" si="168"/>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si="169"/>
        <v>0</v>
      </c>
      <c r="Y1206" s="263"/>
      <c r="Z1206" s="263"/>
      <c r="AB1206" s="265" t="str">
        <f t="shared" si="170"/>
        <v/>
      </c>
    </row>
    <row r="1207" spans="1:28" s="264" customFormat="1" ht="20.399999999999999">
      <c r="A1207" s="207"/>
      <c r="B1207" s="208"/>
      <c r="C1207" s="212"/>
      <c r="D1207" s="270"/>
      <c r="E1207" s="208"/>
      <c r="F1207" s="208"/>
      <c r="G1207" s="208"/>
      <c r="H1207" s="209"/>
      <c r="I1207" s="210"/>
      <c r="J1207" s="210"/>
      <c r="K1207" s="260"/>
      <c r="L1207" s="260"/>
      <c r="M1207" s="260"/>
      <c r="N1207" s="260"/>
      <c r="O1207" s="260"/>
      <c r="P1207" s="211"/>
      <c r="Q1207" s="261"/>
      <c r="R1207" s="208" t="str">
        <f ca="1">IF(ISERROR($V1207),"",OFFSET('Smelter Look-up'!$C$4,$V1207-4,0)&amp;"")</f>
        <v/>
      </c>
      <c r="S1207" s="215" t="str">
        <f t="shared" ca="1" si="168"/>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si="169"/>
        <v>0</v>
      </c>
      <c r="Y1207" s="263"/>
      <c r="Z1207" s="263"/>
      <c r="AB1207" s="265" t="str">
        <f t="shared" si="170"/>
        <v/>
      </c>
    </row>
    <row r="1208" spans="1:28" s="264" customFormat="1" ht="20.399999999999999">
      <c r="A1208" s="207"/>
      <c r="B1208" s="208"/>
      <c r="C1208" s="212"/>
      <c r="D1208" s="270"/>
      <c r="E1208" s="208"/>
      <c r="F1208" s="208"/>
      <c r="G1208" s="208"/>
      <c r="H1208" s="209"/>
      <c r="I1208" s="210"/>
      <c r="J1208" s="210"/>
      <c r="K1208" s="260"/>
      <c r="L1208" s="260"/>
      <c r="M1208" s="260"/>
      <c r="N1208" s="260"/>
      <c r="O1208" s="260"/>
      <c r="P1208" s="211"/>
      <c r="Q1208" s="261"/>
      <c r="R1208" s="208" t="str">
        <f ca="1">IF(ISERROR($V1208),"",OFFSET('Smelter Look-up'!$C$4,$V1208-4,0)&amp;"")</f>
        <v/>
      </c>
      <c r="S1208" s="215" t="str">
        <f t="shared" ca="1" si="168"/>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si="169"/>
        <v>0</v>
      </c>
      <c r="Y1208" s="263"/>
      <c r="Z1208" s="263"/>
      <c r="AB1208" s="265" t="str">
        <f t="shared" si="170"/>
        <v/>
      </c>
    </row>
    <row r="1209" spans="1:28" s="264" customFormat="1" ht="20.399999999999999">
      <c r="A1209" s="207"/>
      <c r="B1209" s="208"/>
      <c r="C1209" s="212"/>
      <c r="D1209" s="270"/>
      <c r="E1209" s="208"/>
      <c r="F1209" s="208"/>
      <c r="G1209" s="208"/>
      <c r="H1209" s="209"/>
      <c r="I1209" s="210"/>
      <c r="J1209" s="210"/>
      <c r="K1209" s="260"/>
      <c r="L1209" s="260"/>
      <c r="M1209" s="260"/>
      <c r="N1209" s="260"/>
      <c r="O1209" s="260"/>
      <c r="P1209" s="211"/>
      <c r="Q1209" s="261"/>
      <c r="R1209" s="208" t="str">
        <f ca="1">IF(ISERROR($V1209),"",OFFSET('Smelter Look-up'!$C$4,$V1209-4,0)&amp;"")</f>
        <v/>
      </c>
      <c r="S1209" s="215" t="str">
        <f t="shared" ca="1" si="168"/>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si="169"/>
        <v>0</v>
      </c>
      <c r="Y1209" s="263"/>
      <c r="Z1209" s="263"/>
      <c r="AB1209" s="265" t="str">
        <f t="shared" si="170"/>
        <v/>
      </c>
    </row>
    <row r="1210" spans="1:28" s="264" customFormat="1" ht="20.399999999999999">
      <c r="A1210" s="207"/>
      <c r="B1210" s="208"/>
      <c r="C1210" s="212"/>
      <c r="D1210" s="270"/>
      <c r="E1210" s="208"/>
      <c r="F1210" s="208"/>
      <c r="G1210" s="208"/>
      <c r="H1210" s="209"/>
      <c r="I1210" s="210"/>
      <c r="J1210" s="210"/>
      <c r="K1210" s="260"/>
      <c r="L1210" s="260"/>
      <c r="M1210" s="260"/>
      <c r="N1210" s="260"/>
      <c r="O1210" s="260"/>
      <c r="P1210" s="211"/>
      <c r="Q1210" s="261"/>
      <c r="R1210" s="208" t="str">
        <f ca="1">IF(ISERROR($V1210),"",OFFSET('Smelter Look-up'!$C$4,$V1210-4,0)&amp;"")</f>
        <v/>
      </c>
      <c r="S1210" s="215" t="str">
        <f t="shared" ca="1" si="168"/>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si="169"/>
        <v>0</v>
      </c>
      <c r="Y1210" s="263"/>
      <c r="Z1210" s="263"/>
      <c r="AB1210" s="265" t="str">
        <f t="shared" si="170"/>
        <v/>
      </c>
    </row>
    <row r="1211" spans="1:28" s="264" customFormat="1" ht="20.399999999999999">
      <c r="A1211" s="207"/>
      <c r="B1211" s="208"/>
      <c r="C1211" s="212"/>
      <c r="D1211" s="270"/>
      <c r="E1211" s="208"/>
      <c r="F1211" s="208"/>
      <c r="G1211" s="208"/>
      <c r="H1211" s="209"/>
      <c r="I1211" s="210"/>
      <c r="J1211" s="210"/>
      <c r="K1211" s="260"/>
      <c r="L1211" s="260"/>
      <c r="M1211" s="260"/>
      <c r="N1211" s="260"/>
      <c r="O1211" s="260"/>
      <c r="P1211" s="211"/>
      <c r="Q1211" s="261"/>
      <c r="R1211" s="208" t="str">
        <f ca="1">IF(ISERROR($V1211),"",OFFSET('Smelter Look-up'!$C$4,$V1211-4,0)&amp;"")</f>
        <v/>
      </c>
      <c r="S1211" s="215" t="str">
        <f t="shared" ref="S1211" ca="1" si="171">IF(B1211="","",IF(ISERROR(MATCH($E1211,CL,0)),"Unknown",INDIRECT("'C'!$A$"&amp;MATCH($E1211,CL,0)+1)))</f>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ref="X1211" si="172">IF(AND(C1211="Smelter not listed",OR(LEN(D1211)=0,LEN(E1211)=0)),1,0)</f>
        <v>0</v>
      </c>
      <c r="Y1211" s="263"/>
      <c r="Z1211" s="263"/>
      <c r="AB1211" s="265" t="str">
        <f t="shared" ref="AB1211" si="173">B1211&amp;C1211</f>
        <v/>
      </c>
    </row>
    <row r="1212" spans="1:28" s="264" customFormat="1" ht="20.399999999999999">
      <c r="A1212" s="207"/>
      <c r="B1212" s="208"/>
      <c r="C1212" s="212"/>
      <c r="D1212" s="270"/>
      <c r="E1212" s="208"/>
      <c r="F1212" s="208"/>
      <c r="G1212" s="208"/>
      <c r="H1212" s="209"/>
      <c r="I1212" s="210"/>
      <c r="J1212" s="210"/>
      <c r="K1212" s="260"/>
      <c r="L1212" s="260"/>
      <c r="M1212" s="260"/>
      <c r="N1212" s="260"/>
      <c r="O1212" s="260"/>
      <c r="P1212" s="211"/>
      <c r="Q1212" s="261"/>
      <c r="R1212" s="208" t="str">
        <f ca="1">IF(ISERROR($V1212),"",OFFSET('Smelter Look-up'!$C$4,$V1212-4,0)&amp;"")</f>
        <v/>
      </c>
      <c r="S1212" s="215" t="str">
        <f t="shared" ref="S1212:S1243" ca="1" si="174">IF(B1212="","",IF(ISERROR(MATCH($E1212,CL,0)),"Unknown",INDIRECT("'C'!$A$"&amp;MATCH($E1212,CL,0)+1)))</f>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ref="X1212:X1243" si="175">IF(AND(C1212="Smelter not listed",OR(LEN(D1212)=0,LEN(E1212)=0)),1,0)</f>
        <v>0</v>
      </c>
      <c r="Y1212" s="263"/>
      <c r="Z1212" s="263"/>
      <c r="AB1212" s="265" t="str">
        <f t="shared" ref="AB1212:AB1243" si="176">B1212&amp;C1212</f>
        <v/>
      </c>
    </row>
    <row r="1213" spans="1:28" s="264" customFormat="1" ht="20.399999999999999">
      <c r="A1213" s="207"/>
      <c r="B1213" s="208"/>
      <c r="C1213" s="212"/>
      <c r="D1213" s="270"/>
      <c r="E1213" s="208"/>
      <c r="F1213" s="208"/>
      <c r="G1213" s="208"/>
      <c r="H1213" s="209"/>
      <c r="I1213" s="210"/>
      <c r="J1213" s="210"/>
      <c r="K1213" s="260"/>
      <c r="L1213" s="260"/>
      <c r="M1213" s="260"/>
      <c r="N1213" s="260"/>
      <c r="O1213" s="260"/>
      <c r="P1213" s="211"/>
      <c r="Q1213" s="261"/>
      <c r="R1213" s="208" t="str">
        <f ca="1">IF(ISERROR($V1213),"",OFFSET('Smelter Look-up'!$C$4,$V1213-4,0)&amp;"")</f>
        <v/>
      </c>
      <c r="S1213" s="215" t="str">
        <f t="shared" ca="1" si="174"/>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si="175"/>
        <v>0</v>
      </c>
      <c r="Y1213" s="263"/>
      <c r="Z1213" s="263"/>
      <c r="AB1213" s="265" t="str">
        <f t="shared" si="176"/>
        <v/>
      </c>
    </row>
    <row r="1214" spans="1:28" s="264" customFormat="1" ht="20.399999999999999">
      <c r="A1214" s="207"/>
      <c r="B1214" s="208"/>
      <c r="C1214" s="212"/>
      <c r="D1214" s="270"/>
      <c r="E1214" s="208"/>
      <c r="F1214" s="208"/>
      <c r="G1214" s="208"/>
      <c r="H1214" s="209"/>
      <c r="I1214" s="210"/>
      <c r="J1214" s="210"/>
      <c r="K1214" s="260"/>
      <c r="L1214" s="260"/>
      <c r="M1214" s="260"/>
      <c r="N1214" s="260"/>
      <c r="O1214" s="260"/>
      <c r="P1214" s="211"/>
      <c r="Q1214" s="261"/>
      <c r="R1214" s="208" t="str">
        <f ca="1">IF(ISERROR($V1214),"",OFFSET('Smelter Look-up'!$C$4,$V1214-4,0)&amp;"")</f>
        <v/>
      </c>
      <c r="S1214" s="215" t="str">
        <f t="shared" ca="1" si="174"/>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si="175"/>
        <v>0</v>
      </c>
      <c r="Y1214" s="263"/>
      <c r="Z1214" s="263"/>
      <c r="AB1214" s="265" t="str">
        <f t="shared" si="176"/>
        <v/>
      </c>
    </row>
    <row r="1215" spans="1:28" s="264" customFormat="1" ht="20.399999999999999">
      <c r="A1215" s="207"/>
      <c r="B1215" s="208"/>
      <c r="C1215" s="212"/>
      <c r="D1215" s="270"/>
      <c r="E1215" s="208"/>
      <c r="F1215" s="208"/>
      <c r="G1215" s="208"/>
      <c r="H1215" s="209"/>
      <c r="I1215" s="210"/>
      <c r="J1215" s="210"/>
      <c r="K1215" s="260"/>
      <c r="L1215" s="260"/>
      <c r="M1215" s="260"/>
      <c r="N1215" s="260"/>
      <c r="O1215" s="260"/>
      <c r="P1215" s="211"/>
      <c r="Q1215" s="261"/>
      <c r="R1215" s="208" t="str">
        <f ca="1">IF(ISERROR($V1215),"",OFFSET('Smelter Look-up'!$C$4,$V1215-4,0)&amp;"")</f>
        <v/>
      </c>
      <c r="S1215" s="215" t="str">
        <f t="shared" ca="1" si="174"/>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si="175"/>
        <v>0</v>
      </c>
      <c r="Y1215" s="263"/>
      <c r="Z1215" s="263"/>
      <c r="AB1215" s="265" t="str">
        <f t="shared" si="176"/>
        <v/>
      </c>
    </row>
    <row r="1216" spans="1:28" s="264" customFormat="1" ht="20.399999999999999">
      <c r="A1216" s="207"/>
      <c r="B1216" s="208"/>
      <c r="C1216" s="212"/>
      <c r="D1216" s="270"/>
      <c r="E1216" s="208"/>
      <c r="F1216" s="208"/>
      <c r="G1216" s="208"/>
      <c r="H1216" s="209"/>
      <c r="I1216" s="210"/>
      <c r="J1216" s="210"/>
      <c r="K1216" s="260"/>
      <c r="L1216" s="260"/>
      <c r="M1216" s="260"/>
      <c r="N1216" s="260"/>
      <c r="O1216" s="260"/>
      <c r="P1216" s="211"/>
      <c r="Q1216" s="261"/>
      <c r="R1216" s="208" t="str">
        <f ca="1">IF(ISERROR($V1216),"",OFFSET('Smelter Look-up'!$C$4,$V1216-4,0)&amp;"")</f>
        <v/>
      </c>
      <c r="S1216" s="215" t="str">
        <f t="shared" ca="1" si="174"/>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si="175"/>
        <v>0</v>
      </c>
      <c r="Y1216" s="263"/>
      <c r="Z1216" s="263"/>
      <c r="AB1216" s="265" t="str">
        <f t="shared" si="176"/>
        <v/>
      </c>
    </row>
    <row r="1217" spans="1:28" s="264" customFormat="1" ht="20.399999999999999">
      <c r="A1217" s="207"/>
      <c r="B1217" s="208"/>
      <c r="C1217" s="212"/>
      <c r="D1217" s="270"/>
      <c r="E1217" s="208"/>
      <c r="F1217" s="208"/>
      <c r="G1217" s="208"/>
      <c r="H1217" s="209"/>
      <c r="I1217" s="210"/>
      <c r="J1217" s="210"/>
      <c r="K1217" s="260"/>
      <c r="L1217" s="260"/>
      <c r="M1217" s="260"/>
      <c r="N1217" s="260"/>
      <c r="O1217" s="260"/>
      <c r="P1217" s="211"/>
      <c r="Q1217" s="261"/>
      <c r="R1217" s="208" t="str">
        <f ca="1">IF(ISERROR($V1217),"",OFFSET('Smelter Look-up'!$C$4,$V1217-4,0)&amp;"")</f>
        <v/>
      </c>
      <c r="S1217" s="215" t="str">
        <f t="shared" ca="1" si="174"/>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si="175"/>
        <v>0</v>
      </c>
      <c r="Y1217" s="263"/>
      <c r="Z1217" s="263"/>
      <c r="AB1217" s="265" t="str">
        <f t="shared" si="176"/>
        <v/>
      </c>
    </row>
    <row r="1218" spans="1:28" s="264" customFormat="1" ht="20.399999999999999">
      <c r="A1218" s="207"/>
      <c r="B1218" s="208"/>
      <c r="C1218" s="212"/>
      <c r="D1218" s="270"/>
      <c r="E1218" s="208"/>
      <c r="F1218" s="208"/>
      <c r="G1218" s="208"/>
      <c r="H1218" s="209"/>
      <c r="I1218" s="210"/>
      <c r="J1218" s="210"/>
      <c r="K1218" s="260"/>
      <c r="L1218" s="260"/>
      <c r="M1218" s="260"/>
      <c r="N1218" s="260"/>
      <c r="O1218" s="260"/>
      <c r="P1218" s="211"/>
      <c r="Q1218" s="261"/>
      <c r="R1218" s="208" t="str">
        <f ca="1">IF(ISERROR($V1218),"",OFFSET('Smelter Look-up'!$C$4,$V1218-4,0)&amp;"")</f>
        <v/>
      </c>
      <c r="S1218" s="215" t="str">
        <f t="shared" ca="1" si="174"/>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si="175"/>
        <v>0</v>
      </c>
      <c r="Y1218" s="263"/>
      <c r="Z1218" s="263"/>
      <c r="AB1218" s="265" t="str">
        <f t="shared" si="176"/>
        <v/>
      </c>
    </row>
    <row r="1219" spans="1:28" s="264" customFormat="1" ht="20.399999999999999">
      <c r="A1219" s="207"/>
      <c r="B1219" s="208"/>
      <c r="C1219" s="212"/>
      <c r="D1219" s="270"/>
      <c r="E1219" s="208"/>
      <c r="F1219" s="208"/>
      <c r="G1219" s="208"/>
      <c r="H1219" s="209"/>
      <c r="I1219" s="210"/>
      <c r="J1219" s="210"/>
      <c r="K1219" s="260"/>
      <c r="L1219" s="260"/>
      <c r="M1219" s="260"/>
      <c r="N1219" s="260"/>
      <c r="O1219" s="260"/>
      <c r="P1219" s="211"/>
      <c r="Q1219" s="261"/>
      <c r="R1219" s="208" t="str">
        <f ca="1">IF(ISERROR($V1219),"",OFFSET('Smelter Look-up'!$C$4,$V1219-4,0)&amp;"")</f>
        <v/>
      </c>
      <c r="S1219" s="215" t="str">
        <f t="shared" ca="1" si="174"/>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si="175"/>
        <v>0</v>
      </c>
      <c r="Y1219" s="263"/>
      <c r="Z1219" s="263"/>
      <c r="AB1219" s="265" t="str">
        <f t="shared" si="176"/>
        <v/>
      </c>
    </row>
    <row r="1220" spans="1:28" s="264" customFormat="1" ht="20.399999999999999">
      <c r="A1220" s="207"/>
      <c r="B1220" s="208"/>
      <c r="C1220" s="212"/>
      <c r="D1220" s="270"/>
      <c r="E1220" s="208"/>
      <c r="F1220" s="208"/>
      <c r="G1220" s="208"/>
      <c r="H1220" s="209"/>
      <c r="I1220" s="210"/>
      <c r="J1220" s="210"/>
      <c r="K1220" s="260"/>
      <c r="L1220" s="260"/>
      <c r="M1220" s="260"/>
      <c r="N1220" s="260"/>
      <c r="O1220" s="260"/>
      <c r="P1220" s="211"/>
      <c r="Q1220" s="261"/>
      <c r="R1220" s="208" t="str">
        <f ca="1">IF(ISERROR($V1220),"",OFFSET('Smelter Look-up'!$C$4,$V1220-4,0)&amp;"")</f>
        <v/>
      </c>
      <c r="S1220" s="215" t="str">
        <f t="shared" ca="1" si="174"/>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si="175"/>
        <v>0</v>
      </c>
      <c r="Y1220" s="263"/>
      <c r="Z1220" s="263"/>
      <c r="AB1220" s="265" t="str">
        <f t="shared" si="176"/>
        <v/>
      </c>
    </row>
    <row r="1221" spans="1:28" s="264" customFormat="1" ht="20.399999999999999">
      <c r="A1221" s="207"/>
      <c r="B1221" s="208"/>
      <c r="C1221" s="212"/>
      <c r="D1221" s="270"/>
      <c r="E1221" s="208"/>
      <c r="F1221" s="208"/>
      <c r="G1221" s="208"/>
      <c r="H1221" s="209"/>
      <c r="I1221" s="210"/>
      <c r="J1221" s="210"/>
      <c r="K1221" s="260"/>
      <c r="L1221" s="260"/>
      <c r="M1221" s="260"/>
      <c r="N1221" s="260"/>
      <c r="O1221" s="260"/>
      <c r="P1221" s="211"/>
      <c r="Q1221" s="261"/>
      <c r="R1221" s="208" t="str">
        <f ca="1">IF(ISERROR($V1221),"",OFFSET('Smelter Look-up'!$C$4,$V1221-4,0)&amp;"")</f>
        <v/>
      </c>
      <c r="S1221" s="215" t="str">
        <f t="shared" ca="1" si="174"/>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si="175"/>
        <v>0</v>
      </c>
      <c r="Y1221" s="263"/>
      <c r="Z1221" s="263"/>
      <c r="AB1221" s="265" t="str">
        <f t="shared" si="176"/>
        <v/>
      </c>
    </row>
    <row r="1222" spans="1:28" s="264" customFormat="1" ht="20.399999999999999">
      <c r="A1222" s="207"/>
      <c r="B1222" s="208"/>
      <c r="C1222" s="212"/>
      <c r="D1222" s="270"/>
      <c r="E1222" s="208"/>
      <c r="F1222" s="208"/>
      <c r="G1222" s="208"/>
      <c r="H1222" s="209"/>
      <c r="I1222" s="210"/>
      <c r="J1222" s="210"/>
      <c r="K1222" s="260"/>
      <c r="L1222" s="260"/>
      <c r="M1222" s="260"/>
      <c r="N1222" s="260"/>
      <c r="O1222" s="260"/>
      <c r="P1222" s="211"/>
      <c r="Q1222" s="261"/>
      <c r="R1222" s="208" t="str">
        <f ca="1">IF(ISERROR($V1222),"",OFFSET('Smelter Look-up'!$C$4,$V1222-4,0)&amp;"")</f>
        <v/>
      </c>
      <c r="S1222" s="215" t="str">
        <f t="shared" ca="1" si="174"/>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si="175"/>
        <v>0</v>
      </c>
      <c r="Y1222" s="263"/>
      <c r="Z1222" s="263"/>
      <c r="AB1222" s="265" t="str">
        <f t="shared" si="176"/>
        <v/>
      </c>
    </row>
    <row r="1223" spans="1:28" s="264" customFormat="1" ht="20.399999999999999">
      <c r="A1223" s="207"/>
      <c r="B1223" s="208"/>
      <c r="C1223" s="212"/>
      <c r="D1223" s="270"/>
      <c r="E1223" s="208"/>
      <c r="F1223" s="208"/>
      <c r="G1223" s="208"/>
      <c r="H1223" s="209"/>
      <c r="I1223" s="210"/>
      <c r="J1223" s="210"/>
      <c r="K1223" s="260"/>
      <c r="L1223" s="260"/>
      <c r="M1223" s="260"/>
      <c r="N1223" s="260"/>
      <c r="O1223" s="260"/>
      <c r="P1223" s="211"/>
      <c r="Q1223" s="261"/>
      <c r="R1223" s="208" t="str">
        <f ca="1">IF(ISERROR($V1223),"",OFFSET('Smelter Look-up'!$C$4,$V1223-4,0)&amp;"")</f>
        <v/>
      </c>
      <c r="S1223" s="215" t="str">
        <f t="shared" ca="1" si="174"/>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si="175"/>
        <v>0</v>
      </c>
      <c r="Y1223" s="263"/>
      <c r="Z1223" s="263"/>
      <c r="AB1223" s="265" t="str">
        <f t="shared" si="176"/>
        <v/>
      </c>
    </row>
    <row r="1224" spans="1:28" s="264" customFormat="1" ht="20.399999999999999">
      <c r="A1224" s="207"/>
      <c r="B1224" s="208"/>
      <c r="C1224" s="212"/>
      <c r="D1224" s="270"/>
      <c r="E1224" s="208"/>
      <c r="F1224" s="208"/>
      <c r="G1224" s="208"/>
      <c r="H1224" s="209"/>
      <c r="I1224" s="210"/>
      <c r="J1224" s="210"/>
      <c r="K1224" s="260"/>
      <c r="L1224" s="260"/>
      <c r="M1224" s="260"/>
      <c r="N1224" s="260"/>
      <c r="O1224" s="260"/>
      <c r="P1224" s="211"/>
      <c r="Q1224" s="261"/>
      <c r="R1224" s="208" t="str">
        <f ca="1">IF(ISERROR($V1224),"",OFFSET('Smelter Look-up'!$C$4,$V1224-4,0)&amp;"")</f>
        <v/>
      </c>
      <c r="S1224" s="215" t="str">
        <f t="shared" ca="1" si="174"/>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si="175"/>
        <v>0</v>
      </c>
      <c r="Y1224" s="263"/>
      <c r="Z1224" s="263"/>
      <c r="AB1224" s="265" t="str">
        <f t="shared" si="176"/>
        <v/>
      </c>
    </row>
    <row r="1225" spans="1:28" s="264" customFormat="1" ht="20.399999999999999">
      <c r="A1225" s="207"/>
      <c r="B1225" s="208"/>
      <c r="C1225" s="212"/>
      <c r="D1225" s="270"/>
      <c r="E1225" s="208"/>
      <c r="F1225" s="208"/>
      <c r="G1225" s="208"/>
      <c r="H1225" s="209"/>
      <c r="I1225" s="210"/>
      <c r="J1225" s="210"/>
      <c r="K1225" s="260"/>
      <c r="L1225" s="260"/>
      <c r="M1225" s="260"/>
      <c r="N1225" s="260"/>
      <c r="O1225" s="260"/>
      <c r="P1225" s="211"/>
      <c r="Q1225" s="261"/>
      <c r="R1225" s="208" t="str">
        <f ca="1">IF(ISERROR($V1225),"",OFFSET('Smelter Look-up'!$C$4,$V1225-4,0)&amp;"")</f>
        <v/>
      </c>
      <c r="S1225" s="215" t="str">
        <f t="shared" ca="1" si="174"/>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si="175"/>
        <v>0</v>
      </c>
      <c r="Y1225" s="263"/>
      <c r="Z1225" s="263"/>
      <c r="AB1225" s="265" t="str">
        <f t="shared" si="176"/>
        <v/>
      </c>
    </row>
    <row r="1226" spans="1:28" s="264" customFormat="1" ht="20.399999999999999">
      <c r="A1226" s="207"/>
      <c r="B1226" s="208"/>
      <c r="C1226" s="212"/>
      <c r="D1226" s="270"/>
      <c r="E1226" s="208"/>
      <c r="F1226" s="208"/>
      <c r="G1226" s="208"/>
      <c r="H1226" s="209"/>
      <c r="I1226" s="210"/>
      <c r="J1226" s="210"/>
      <c r="K1226" s="260"/>
      <c r="L1226" s="260"/>
      <c r="M1226" s="260"/>
      <c r="N1226" s="260"/>
      <c r="O1226" s="260"/>
      <c r="P1226" s="211"/>
      <c r="Q1226" s="261"/>
      <c r="R1226" s="208" t="str">
        <f ca="1">IF(ISERROR($V1226),"",OFFSET('Smelter Look-up'!$C$4,$V1226-4,0)&amp;"")</f>
        <v/>
      </c>
      <c r="S1226" s="215" t="str">
        <f t="shared" ca="1" si="174"/>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si="175"/>
        <v>0</v>
      </c>
      <c r="Y1226" s="263"/>
      <c r="Z1226" s="263"/>
      <c r="AB1226" s="265" t="str">
        <f t="shared" si="176"/>
        <v/>
      </c>
    </row>
    <row r="1227" spans="1:28" s="264" customFormat="1" ht="20.399999999999999">
      <c r="A1227" s="207"/>
      <c r="B1227" s="208"/>
      <c r="C1227" s="212"/>
      <c r="D1227" s="270"/>
      <c r="E1227" s="208"/>
      <c r="F1227" s="208"/>
      <c r="G1227" s="208"/>
      <c r="H1227" s="209"/>
      <c r="I1227" s="210"/>
      <c r="J1227" s="210"/>
      <c r="K1227" s="260"/>
      <c r="L1227" s="260"/>
      <c r="M1227" s="260"/>
      <c r="N1227" s="260"/>
      <c r="O1227" s="260"/>
      <c r="P1227" s="211"/>
      <c r="Q1227" s="261"/>
      <c r="R1227" s="208" t="str">
        <f ca="1">IF(ISERROR($V1227),"",OFFSET('Smelter Look-up'!$C$4,$V1227-4,0)&amp;"")</f>
        <v/>
      </c>
      <c r="S1227" s="215" t="str">
        <f t="shared" ca="1" si="174"/>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si="175"/>
        <v>0</v>
      </c>
      <c r="Y1227" s="263"/>
      <c r="Z1227" s="263"/>
      <c r="AB1227" s="265" t="str">
        <f t="shared" si="176"/>
        <v/>
      </c>
    </row>
    <row r="1228" spans="1:28" s="264" customFormat="1" ht="20.399999999999999">
      <c r="A1228" s="207"/>
      <c r="B1228" s="208"/>
      <c r="C1228" s="212"/>
      <c r="D1228" s="270"/>
      <c r="E1228" s="208"/>
      <c r="F1228" s="208"/>
      <c r="G1228" s="208"/>
      <c r="H1228" s="209"/>
      <c r="I1228" s="210"/>
      <c r="J1228" s="210"/>
      <c r="K1228" s="260"/>
      <c r="L1228" s="260"/>
      <c r="M1228" s="260"/>
      <c r="N1228" s="260"/>
      <c r="O1228" s="260"/>
      <c r="P1228" s="211"/>
      <c r="Q1228" s="261"/>
      <c r="R1228" s="208" t="str">
        <f ca="1">IF(ISERROR($V1228),"",OFFSET('Smelter Look-up'!$C$4,$V1228-4,0)&amp;"")</f>
        <v/>
      </c>
      <c r="S1228" s="215" t="str">
        <f t="shared" ca="1" si="174"/>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si="175"/>
        <v>0</v>
      </c>
      <c r="Y1228" s="263"/>
      <c r="Z1228" s="263"/>
      <c r="AB1228" s="265" t="str">
        <f t="shared" si="176"/>
        <v/>
      </c>
    </row>
    <row r="1229" spans="1:28" s="264" customFormat="1" ht="20.399999999999999">
      <c r="A1229" s="207"/>
      <c r="B1229" s="208"/>
      <c r="C1229" s="212"/>
      <c r="D1229" s="270"/>
      <c r="E1229" s="208"/>
      <c r="F1229" s="208"/>
      <c r="G1229" s="208"/>
      <c r="H1229" s="209"/>
      <c r="I1229" s="210"/>
      <c r="J1229" s="210"/>
      <c r="K1229" s="260"/>
      <c r="L1229" s="260"/>
      <c r="M1229" s="260"/>
      <c r="N1229" s="260"/>
      <c r="O1229" s="260"/>
      <c r="P1229" s="211"/>
      <c r="Q1229" s="261"/>
      <c r="R1229" s="208" t="str">
        <f ca="1">IF(ISERROR($V1229),"",OFFSET('Smelter Look-up'!$C$4,$V1229-4,0)&amp;"")</f>
        <v/>
      </c>
      <c r="S1229" s="215" t="str">
        <f t="shared" ca="1" si="174"/>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si="175"/>
        <v>0</v>
      </c>
      <c r="Y1229" s="263"/>
      <c r="Z1229" s="263"/>
      <c r="AB1229" s="265" t="str">
        <f t="shared" si="176"/>
        <v/>
      </c>
    </row>
    <row r="1230" spans="1:28" s="264" customFormat="1" ht="20.399999999999999">
      <c r="A1230" s="207"/>
      <c r="B1230" s="208"/>
      <c r="C1230" s="212"/>
      <c r="D1230" s="270"/>
      <c r="E1230" s="208"/>
      <c r="F1230" s="208"/>
      <c r="G1230" s="208"/>
      <c r="H1230" s="209"/>
      <c r="I1230" s="210"/>
      <c r="J1230" s="210"/>
      <c r="K1230" s="260"/>
      <c r="L1230" s="260"/>
      <c r="M1230" s="260"/>
      <c r="N1230" s="260"/>
      <c r="O1230" s="260"/>
      <c r="P1230" s="211"/>
      <c r="Q1230" s="261"/>
      <c r="R1230" s="208" t="str">
        <f ca="1">IF(ISERROR($V1230),"",OFFSET('Smelter Look-up'!$C$4,$V1230-4,0)&amp;"")</f>
        <v/>
      </c>
      <c r="S1230" s="215" t="str">
        <f t="shared" ca="1" si="174"/>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si="175"/>
        <v>0</v>
      </c>
      <c r="Y1230" s="263"/>
      <c r="Z1230" s="263"/>
      <c r="AB1230" s="265" t="str">
        <f t="shared" si="176"/>
        <v/>
      </c>
    </row>
    <row r="1231" spans="1:28" s="264" customFormat="1" ht="20.399999999999999">
      <c r="A1231" s="207"/>
      <c r="B1231" s="208"/>
      <c r="C1231" s="212"/>
      <c r="D1231" s="270"/>
      <c r="E1231" s="208"/>
      <c r="F1231" s="208"/>
      <c r="G1231" s="208"/>
      <c r="H1231" s="209"/>
      <c r="I1231" s="210"/>
      <c r="J1231" s="210"/>
      <c r="K1231" s="260"/>
      <c r="L1231" s="260"/>
      <c r="M1231" s="260"/>
      <c r="N1231" s="260"/>
      <c r="O1231" s="260"/>
      <c r="P1231" s="211"/>
      <c r="Q1231" s="261"/>
      <c r="R1231" s="208" t="str">
        <f ca="1">IF(ISERROR($V1231),"",OFFSET('Smelter Look-up'!$C$4,$V1231-4,0)&amp;"")</f>
        <v/>
      </c>
      <c r="S1231" s="215" t="str">
        <f t="shared" ca="1" si="174"/>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si="175"/>
        <v>0</v>
      </c>
      <c r="Y1231" s="263"/>
      <c r="Z1231" s="263"/>
      <c r="AB1231" s="265" t="str">
        <f t="shared" si="176"/>
        <v/>
      </c>
    </row>
    <row r="1232" spans="1:28" s="264" customFormat="1" ht="20.399999999999999">
      <c r="A1232" s="207"/>
      <c r="B1232" s="208"/>
      <c r="C1232" s="212"/>
      <c r="D1232" s="270"/>
      <c r="E1232" s="208"/>
      <c r="F1232" s="208"/>
      <c r="G1232" s="208"/>
      <c r="H1232" s="209"/>
      <c r="I1232" s="210"/>
      <c r="J1232" s="210"/>
      <c r="K1232" s="260"/>
      <c r="L1232" s="260"/>
      <c r="M1232" s="260"/>
      <c r="N1232" s="260"/>
      <c r="O1232" s="260"/>
      <c r="P1232" s="211"/>
      <c r="Q1232" s="261"/>
      <c r="R1232" s="208" t="str">
        <f ca="1">IF(ISERROR($V1232),"",OFFSET('Smelter Look-up'!$C$4,$V1232-4,0)&amp;"")</f>
        <v/>
      </c>
      <c r="S1232" s="215" t="str">
        <f t="shared" ca="1" si="174"/>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si="175"/>
        <v>0</v>
      </c>
      <c r="Y1232" s="263"/>
      <c r="Z1232" s="263"/>
      <c r="AB1232" s="265" t="str">
        <f t="shared" si="176"/>
        <v/>
      </c>
    </row>
    <row r="1233" spans="1:28" s="264" customFormat="1" ht="20.399999999999999">
      <c r="A1233" s="207"/>
      <c r="B1233" s="208"/>
      <c r="C1233" s="212"/>
      <c r="D1233" s="270"/>
      <c r="E1233" s="208"/>
      <c r="F1233" s="208"/>
      <c r="G1233" s="208"/>
      <c r="H1233" s="209"/>
      <c r="I1233" s="210"/>
      <c r="J1233" s="210"/>
      <c r="K1233" s="260"/>
      <c r="L1233" s="260"/>
      <c r="M1233" s="260"/>
      <c r="N1233" s="260"/>
      <c r="O1233" s="260"/>
      <c r="P1233" s="211"/>
      <c r="Q1233" s="261"/>
      <c r="R1233" s="208" t="str">
        <f ca="1">IF(ISERROR($V1233),"",OFFSET('Smelter Look-up'!$C$4,$V1233-4,0)&amp;"")</f>
        <v/>
      </c>
      <c r="S1233" s="215" t="str">
        <f t="shared" ca="1" si="174"/>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si="175"/>
        <v>0</v>
      </c>
      <c r="Y1233" s="263"/>
      <c r="Z1233" s="263"/>
      <c r="AB1233" s="265" t="str">
        <f t="shared" si="176"/>
        <v/>
      </c>
    </row>
    <row r="1234" spans="1:28" s="264" customFormat="1" ht="20.399999999999999">
      <c r="A1234" s="207"/>
      <c r="B1234" s="208"/>
      <c r="C1234" s="212"/>
      <c r="D1234" s="270"/>
      <c r="E1234" s="208"/>
      <c r="F1234" s="208"/>
      <c r="G1234" s="208"/>
      <c r="H1234" s="209"/>
      <c r="I1234" s="210"/>
      <c r="J1234" s="210"/>
      <c r="K1234" s="260"/>
      <c r="L1234" s="260"/>
      <c r="M1234" s="260"/>
      <c r="N1234" s="260"/>
      <c r="O1234" s="260"/>
      <c r="P1234" s="211"/>
      <c r="Q1234" s="261"/>
      <c r="R1234" s="208" t="str">
        <f ca="1">IF(ISERROR($V1234),"",OFFSET('Smelter Look-up'!$C$4,$V1234-4,0)&amp;"")</f>
        <v/>
      </c>
      <c r="S1234" s="215" t="str">
        <f t="shared" ca="1" si="174"/>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si="175"/>
        <v>0</v>
      </c>
      <c r="Y1234" s="263"/>
      <c r="Z1234" s="263"/>
      <c r="AB1234" s="265" t="str">
        <f t="shared" si="176"/>
        <v/>
      </c>
    </row>
    <row r="1235" spans="1:28" s="264" customFormat="1" ht="20.399999999999999">
      <c r="A1235" s="207"/>
      <c r="B1235" s="208"/>
      <c r="C1235" s="212"/>
      <c r="D1235" s="270"/>
      <c r="E1235" s="208"/>
      <c r="F1235" s="208"/>
      <c r="G1235" s="208"/>
      <c r="H1235" s="209"/>
      <c r="I1235" s="210"/>
      <c r="J1235" s="210"/>
      <c r="K1235" s="260"/>
      <c r="L1235" s="260"/>
      <c r="M1235" s="260"/>
      <c r="N1235" s="260"/>
      <c r="O1235" s="260"/>
      <c r="P1235" s="211"/>
      <c r="Q1235" s="261"/>
      <c r="R1235" s="208" t="str">
        <f ca="1">IF(ISERROR($V1235),"",OFFSET('Smelter Look-up'!$C$4,$V1235-4,0)&amp;"")</f>
        <v/>
      </c>
      <c r="S1235" s="215" t="str">
        <f t="shared" ca="1" si="174"/>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si="175"/>
        <v>0</v>
      </c>
      <c r="Y1235" s="263"/>
      <c r="Z1235" s="263"/>
      <c r="AB1235" s="265" t="str">
        <f t="shared" si="176"/>
        <v/>
      </c>
    </row>
    <row r="1236" spans="1:28" s="264" customFormat="1" ht="20.399999999999999">
      <c r="A1236" s="207"/>
      <c r="B1236" s="208"/>
      <c r="C1236" s="212"/>
      <c r="D1236" s="270"/>
      <c r="E1236" s="208"/>
      <c r="F1236" s="208"/>
      <c r="G1236" s="208"/>
      <c r="H1236" s="209"/>
      <c r="I1236" s="210"/>
      <c r="J1236" s="210"/>
      <c r="K1236" s="260"/>
      <c r="L1236" s="260"/>
      <c r="M1236" s="260"/>
      <c r="N1236" s="260"/>
      <c r="O1236" s="260"/>
      <c r="P1236" s="211"/>
      <c r="Q1236" s="261"/>
      <c r="R1236" s="208" t="str">
        <f ca="1">IF(ISERROR($V1236),"",OFFSET('Smelter Look-up'!$C$4,$V1236-4,0)&amp;"")</f>
        <v/>
      </c>
      <c r="S1236" s="215" t="str">
        <f t="shared" ca="1" si="174"/>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si="175"/>
        <v>0</v>
      </c>
      <c r="Y1236" s="263"/>
      <c r="Z1236" s="263"/>
      <c r="AB1236" s="265" t="str">
        <f t="shared" si="176"/>
        <v/>
      </c>
    </row>
    <row r="1237" spans="1:28" s="264" customFormat="1" ht="20.399999999999999">
      <c r="A1237" s="207"/>
      <c r="B1237" s="208"/>
      <c r="C1237" s="212"/>
      <c r="D1237" s="270"/>
      <c r="E1237" s="208"/>
      <c r="F1237" s="208"/>
      <c r="G1237" s="208"/>
      <c r="H1237" s="209"/>
      <c r="I1237" s="210"/>
      <c r="J1237" s="210"/>
      <c r="K1237" s="260"/>
      <c r="L1237" s="260"/>
      <c r="M1237" s="260"/>
      <c r="N1237" s="260"/>
      <c r="O1237" s="260"/>
      <c r="P1237" s="211"/>
      <c r="Q1237" s="261"/>
      <c r="R1237" s="208" t="str">
        <f ca="1">IF(ISERROR($V1237),"",OFFSET('Smelter Look-up'!$C$4,$V1237-4,0)&amp;"")</f>
        <v/>
      </c>
      <c r="S1237" s="215" t="str">
        <f t="shared" ca="1" si="174"/>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si="175"/>
        <v>0</v>
      </c>
      <c r="Y1237" s="263"/>
      <c r="Z1237" s="263"/>
      <c r="AB1237" s="265" t="str">
        <f t="shared" si="176"/>
        <v/>
      </c>
    </row>
    <row r="1238" spans="1:28" s="264" customFormat="1" ht="20.399999999999999">
      <c r="A1238" s="207"/>
      <c r="B1238" s="208"/>
      <c r="C1238" s="212"/>
      <c r="D1238" s="270"/>
      <c r="E1238" s="208"/>
      <c r="F1238" s="208"/>
      <c r="G1238" s="208"/>
      <c r="H1238" s="209"/>
      <c r="I1238" s="210"/>
      <c r="J1238" s="210"/>
      <c r="K1238" s="260"/>
      <c r="L1238" s="260"/>
      <c r="M1238" s="260"/>
      <c r="N1238" s="260"/>
      <c r="O1238" s="260"/>
      <c r="P1238" s="211"/>
      <c r="Q1238" s="261"/>
      <c r="R1238" s="208" t="str">
        <f ca="1">IF(ISERROR($V1238),"",OFFSET('Smelter Look-up'!$C$4,$V1238-4,0)&amp;"")</f>
        <v/>
      </c>
      <c r="S1238" s="215" t="str">
        <f t="shared" ca="1" si="174"/>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si="175"/>
        <v>0</v>
      </c>
      <c r="Y1238" s="263"/>
      <c r="Z1238" s="263"/>
      <c r="AB1238" s="265" t="str">
        <f t="shared" si="176"/>
        <v/>
      </c>
    </row>
    <row r="1239" spans="1:28" s="264" customFormat="1" ht="20.399999999999999">
      <c r="A1239" s="207"/>
      <c r="B1239" s="208"/>
      <c r="C1239" s="212"/>
      <c r="D1239" s="270"/>
      <c r="E1239" s="208"/>
      <c r="F1239" s="208"/>
      <c r="G1239" s="208"/>
      <c r="H1239" s="209"/>
      <c r="I1239" s="210"/>
      <c r="J1239" s="210"/>
      <c r="K1239" s="260"/>
      <c r="L1239" s="260"/>
      <c r="M1239" s="260"/>
      <c r="N1239" s="260"/>
      <c r="O1239" s="260"/>
      <c r="P1239" s="211"/>
      <c r="Q1239" s="261"/>
      <c r="R1239" s="208" t="str">
        <f ca="1">IF(ISERROR($V1239),"",OFFSET('Smelter Look-up'!$C$4,$V1239-4,0)&amp;"")</f>
        <v/>
      </c>
      <c r="S1239" s="215" t="str">
        <f t="shared" ca="1" si="174"/>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si="175"/>
        <v>0</v>
      </c>
      <c r="Y1239" s="263"/>
      <c r="Z1239" s="263"/>
      <c r="AB1239" s="265" t="str">
        <f t="shared" si="176"/>
        <v/>
      </c>
    </row>
    <row r="1240" spans="1:28" s="264" customFormat="1" ht="20.399999999999999">
      <c r="A1240" s="207"/>
      <c r="B1240" s="208"/>
      <c r="C1240" s="212"/>
      <c r="D1240" s="270"/>
      <c r="E1240" s="208"/>
      <c r="F1240" s="208"/>
      <c r="G1240" s="208"/>
      <c r="H1240" s="209"/>
      <c r="I1240" s="210"/>
      <c r="J1240" s="210"/>
      <c r="K1240" s="260"/>
      <c r="L1240" s="260"/>
      <c r="M1240" s="260"/>
      <c r="N1240" s="260"/>
      <c r="O1240" s="260"/>
      <c r="P1240" s="211"/>
      <c r="Q1240" s="261"/>
      <c r="R1240" s="208" t="str">
        <f ca="1">IF(ISERROR($V1240),"",OFFSET('Smelter Look-up'!$C$4,$V1240-4,0)&amp;"")</f>
        <v/>
      </c>
      <c r="S1240" s="215" t="str">
        <f t="shared" ca="1" si="174"/>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si="175"/>
        <v>0</v>
      </c>
      <c r="Y1240" s="263"/>
      <c r="Z1240" s="263"/>
      <c r="AB1240" s="265" t="str">
        <f t="shared" si="176"/>
        <v/>
      </c>
    </row>
    <row r="1241" spans="1:28" s="264" customFormat="1" ht="20.399999999999999">
      <c r="A1241" s="207"/>
      <c r="B1241" s="208"/>
      <c r="C1241" s="212"/>
      <c r="D1241" s="270"/>
      <c r="E1241" s="208"/>
      <c r="F1241" s="208"/>
      <c r="G1241" s="208"/>
      <c r="H1241" s="209"/>
      <c r="I1241" s="210"/>
      <c r="J1241" s="210"/>
      <c r="K1241" s="260"/>
      <c r="L1241" s="260"/>
      <c r="M1241" s="260"/>
      <c r="N1241" s="260"/>
      <c r="O1241" s="260"/>
      <c r="P1241" s="211"/>
      <c r="Q1241" s="261"/>
      <c r="R1241" s="208" t="str">
        <f ca="1">IF(ISERROR($V1241),"",OFFSET('Smelter Look-up'!$C$4,$V1241-4,0)&amp;"")</f>
        <v/>
      </c>
      <c r="S1241" s="215" t="str">
        <f t="shared" ca="1" si="174"/>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si="175"/>
        <v>0</v>
      </c>
      <c r="Y1241" s="263"/>
      <c r="Z1241" s="263"/>
      <c r="AB1241" s="265" t="str">
        <f t="shared" si="176"/>
        <v/>
      </c>
    </row>
    <row r="1242" spans="1:28" s="264" customFormat="1" ht="20.399999999999999">
      <c r="A1242" s="207"/>
      <c r="B1242" s="208"/>
      <c r="C1242" s="212"/>
      <c r="D1242" s="270"/>
      <c r="E1242" s="208"/>
      <c r="F1242" s="208"/>
      <c r="G1242" s="208"/>
      <c r="H1242" s="209"/>
      <c r="I1242" s="210"/>
      <c r="J1242" s="210"/>
      <c r="K1242" s="260"/>
      <c r="L1242" s="260"/>
      <c r="M1242" s="260"/>
      <c r="N1242" s="260"/>
      <c r="O1242" s="260"/>
      <c r="P1242" s="211"/>
      <c r="Q1242" s="261"/>
      <c r="R1242" s="208" t="str">
        <f ca="1">IF(ISERROR($V1242),"",OFFSET('Smelter Look-up'!$C$4,$V1242-4,0)&amp;"")</f>
        <v/>
      </c>
      <c r="S1242" s="215" t="str">
        <f t="shared" ca="1" si="174"/>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si="175"/>
        <v>0</v>
      </c>
      <c r="Y1242" s="263"/>
      <c r="Z1242" s="263"/>
      <c r="AB1242" s="265" t="str">
        <f t="shared" si="176"/>
        <v/>
      </c>
    </row>
    <row r="1243" spans="1:28" s="264" customFormat="1" ht="20.399999999999999">
      <c r="A1243" s="207"/>
      <c r="B1243" s="208"/>
      <c r="C1243" s="212"/>
      <c r="D1243" s="270"/>
      <c r="E1243" s="208"/>
      <c r="F1243" s="208"/>
      <c r="G1243" s="208"/>
      <c r="H1243" s="209"/>
      <c r="I1243" s="210"/>
      <c r="J1243" s="210"/>
      <c r="K1243" s="260"/>
      <c r="L1243" s="260"/>
      <c r="M1243" s="260"/>
      <c r="N1243" s="260"/>
      <c r="O1243" s="260"/>
      <c r="P1243" s="211"/>
      <c r="Q1243" s="261"/>
      <c r="R1243" s="208" t="str">
        <f ca="1">IF(ISERROR($V1243),"",OFFSET('Smelter Look-up'!$C$4,$V1243-4,0)&amp;"")</f>
        <v/>
      </c>
      <c r="S1243" s="215" t="str">
        <f t="shared" ca="1" si="174"/>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si="175"/>
        <v>0</v>
      </c>
      <c r="Y1243" s="263"/>
      <c r="Z1243" s="263"/>
      <c r="AB1243" s="265" t="str">
        <f t="shared" si="176"/>
        <v/>
      </c>
    </row>
    <row r="1244" spans="1:28" s="264" customFormat="1" ht="20.399999999999999">
      <c r="A1244" s="207"/>
      <c r="B1244" s="208"/>
      <c r="C1244" s="212"/>
      <c r="D1244" s="270"/>
      <c r="E1244" s="208"/>
      <c r="F1244" s="208"/>
      <c r="G1244" s="208"/>
      <c r="H1244" s="209"/>
      <c r="I1244" s="210"/>
      <c r="J1244" s="210"/>
      <c r="K1244" s="260"/>
      <c r="L1244" s="260"/>
      <c r="M1244" s="260"/>
      <c r="N1244" s="260"/>
      <c r="O1244" s="260"/>
      <c r="P1244" s="211"/>
      <c r="Q1244" s="261"/>
      <c r="R1244" s="208" t="str">
        <f ca="1">IF(ISERROR($V1244),"",OFFSET('Smelter Look-up'!$C$4,$V1244-4,0)&amp;"")</f>
        <v/>
      </c>
      <c r="S1244" s="215" t="str">
        <f t="shared" ref="S1244:S1274" ca="1" si="177">IF(B1244="","",IF(ISERROR(MATCH($E1244,CL,0)),"Unknown",INDIRECT("'C'!$A$"&amp;MATCH($E1244,CL,0)+1)))</f>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ref="X1244:X1274" si="178">IF(AND(C1244="Smelter not listed",OR(LEN(D1244)=0,LEN(E1244)=0)),1,0)</f>
        <v>0</v>
      </c>
      <c r="Y1244" s="263"/>
      <c r="Z1244" s="263"/>
      <c r="AB1244" s="265" t="str">
        <f t="shared" ref="AB1244:AB1274" si="179">B1244&amp;C1244</f>
        <v/>
      </c>
    </row>
    <row r="1245" spans="1:28" s="264" customFormat="1" ht="20.399999999999999">
      <c r="A1245" s="207"/>
      <c r="B1245" s="208"/>
      <c r="C1245" s="212"/>
      <c r="D1245" s="270"/>
      <c r="E1245" s="208"/>
      <c r="F1245" s="208"/>
      <c r="G1245" s="208"/>
      <c r="H1245" s="209"/>
      <c r="I1245" s="210"/>
      <c r="J1245" s="210"/>
      <c r="K1245" s="260"/>
      <c r="L1245" s="260"/>
      <c r="M1245" s="260"/>
      <c r="N1245" s="260"/>
      <c r="O1245" s="260"/>
      <c r="P1245" s="211"/>
      <c r="Q1245" s="261"/>
      <c r="R1245" s="208" t="str">
        <f ca="1">IF(ISERROR($V1245),"",OFFSET('Smelter Look-up'!$C$4,$V1245-4,0)&amp;"")</f>
        <v/>
      </c>
      <c r="S1245" s="215" t="str">
        <f t="shared" ca="1" si="177"/>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si="178"/>
        <v>0</v>
      </c>
      <c r="Y1245" s="263"/>
      <c r="Z1245" s="263"/>
      <c r="AB1245" s="265" t="str">
        <f t="shared" si="179"/>
        <v/>
      </c>
    </row>
    <row r="1246" spans="1:28" s="264" customFormat="1" ht="20.399999999999999">
      <c r="A1246" s="207"/>
      <c r="B1246" s="208"/>
      <c r="C1246" s="212"/>
      <c r="D1246" s="270"/>
      <c r="E1246" s="208"/>
      <c r="F1246" s="208"/>
      <c r="G1246" s="208"/>
      <c r="H1246" s="209"/>
      <c r="I1246" s="210"/>
      <c r="J1246" s="210"/>
      <c r="K1246" s="260"/>
      <c r="L1246" s="260"/>
      <c r="M1246" s="260"/>
      <c r="N1246" s="260"/>
      <c r="O1246" s="260"/>
      <c r="P1246" s="211"/>
      <c r="Q1246" s="261"/>
      <c r="R1246" s="208" t="str">
        <f ca="1">IF(ISERROR($V1246),"",OFFSET('Smelter Look-up'!$C$4,$V1246-4,0)&amp;"")</f>
        <v/>
      </c>
      <c r="S1246" s="215" t="str">
        <f t="shared" ca="1" si="177"/>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si="178"/>
        <v>0</v>
      </c>
      <c r="Y1246" s="263"/>
      <c r="Z1246" s="263"/>
      <c r="AB1246" s="265" t="str">
        <f t="shared" si="179"/>
        <v/>
      </c>
    </row>
    <row r="1247" spans="1:28" s="264" customFormat="1" ht="20.399999999999999">
      <c r="A1247" s="207"/>
      <c r="B1247" s="208"/>
      <c r="C1247" s="212"/>
      <c r="D1247" s="270"/>
      <c r="E1247" s="208"/>
      <c r="F1247" s="208"/>
      <c r="G1247" s="208"/>
      <c r="H1247" s="209"/>
      <c r="I1247" s="210"/>
      <c r="J1247" s="210"/>
      <c r="K1247" s="260"/>
      <c r="L1247" s="260"/>
      <c r="M1247" s="260"/>
      <c r="N1247" s="260"/>
      <c r="O1247" s="260"/>
      <c r="P1247" s="211"/>
      <c r="Q1247" s="261"/>
      <c r="R1247" s="208" t="str">
        <f ca="1">IF(ISERROR($V1247),"",OFFSET('Smelter Look-up'!$C$4,$V1247-4,0)&amp;"")</f>
        <v/>
      </c>
      <c r="S1247" s="215" t="str">
        <f t="shared" ca="1" si="177"/>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si="178"/>
        <v>0</v>
      </c>
      <c r="Y1247" s="263"/>
      <c r="Z1247" s="263"/>
      <c r="AB1247" s="265" t="str">
        <f t="shared" si="179"/>
        <v/>
      </c>
    </row>
    <row r="1248" spans="1:28" s="264" customFormat="1" ht="20.399999999999999">
      <c r="A1248" s="207"/>
      <c r="B1248" s="208"/>
      <c r="C1248" s="212"/>
      <c r="D1248" s="270"/>
      <c r="E1248" s="208"/>
      <c r="F1248" s="208"/>
      <c r="G1248" s="208"/>
      <c r="H1248" s="209"/>
      <c r="I1248" s="210"/>
      <c r="J1248" s="210"/>
      <c r="K1248" s="260"/>
      <c r="L1248" s="260"/>
      <c r="M1248" s="260"/>
      <c r="N1248" s="260"/>
      <c r="O1248" s="260"/>
      <c r="P1248" s="211"/>
      <c r="Q1248" s="261"/>
      <c r="R1248" s="208" t="str">
        <f ca="1">IF(ISERROR($V1248),"",OFFSET('Smelter Look-up'!$C$4,$V1248-4,0)&amp;"")</f>
        <v/>
      </c>
      <c r="S1248" s="215" t="str">
        <f t="shared" ca="1" si="177"/>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si="178"/>
        <v>0</v>
      </c>
      <c r="Y1248" s="263"/>
      <c r="Z1248" s="263"/>
      <c r="AB1248" s="265" t="str">
        <f t="shared" si="179"/>
        <v/>
      </c>
    </row>
    <row r="1249" spans="1:28" s="264" customFormat="1" ht="20.399999999999999">
      <c r="A1249" s="207"/>
      <c r="B1249" s="208"/>
      <c r="C1249" s="212"/>
      <c r="D1249" s="270"/>
      <c r="E1249" s="208"/>
      <c r="F1249" s="208"/>
      <c r="G1249" s="208"/>
      <c r="H1249" s="209"/>
      <c r="I1249" s="210"/>
      <c r="J1249" s="210"/>
      <c r="K1249" s="260"/>
      <c r="L1249" s="260"/>
      <c r="M1249" s="260"/>
      <c r="N1249" s="260"/>
      <c r="O1249" s="260"/>
      <c r="P1249" s="211"/>
      <c r="Q1249" s="261"/>
      <c r="R1249" s="208" t="str">
        <f ca="1">IF(ISERROR($V1249),"",OFFSET('Smelter Look-up'!$C$4,$V1249-4,0)&amp;"")</f>
        <v/>
      </c>
      <c r="S1249" s="215" t="str">
        <f t="shared" ca="1" si="177"/>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si="178"/>
        <v>0</v>
      </c>
      <c r="Y1249" s="263"/>
      <c r="Z1249" s="263"/>
      <c r="AB1249" s="265" t="str">
        <f t="shared" si="179"/>
        <v/>
      </c>
    </row>
    <row r="1250" spans="1:28" s="264" customFormat="1" ht="20.399999999999999">
      <c r="A1250" s="207"/>
      <c r="B1250" s="208"/>
      <c r="C1250" s="212"/>
      <c r="D1250" s="270"/>
      <c r="E1250" s="208"/>
      <c r="F1250" s="208"/>
      <c r="G1250" s="208"/>
      <c r="H1250" s="209"/>
      <c r="I1250" s="210"/>
      <c r="J1250" s="210"/>
      <c r="K1250" s="260"/>
      <c r="L1250" s="260"/>
      <c r="M1250" s="260"/>
      <c r="N1250" s="260"/>
      <c r="O1250" s="260"/>
      <c r="P1250" s="211"/>
      <c r="Q1250" s="261"/>
      <c r="R1250" s="208" t="str">
        <f ca="1">IF(ISERROR($V1250),"",OFFSET('Smelter Look-up'!$C$4,$V1250-4,0)&amp;"")</f>
        <v/>
      </c>
      <c r="S1250" s="215" t="str">
        <f t="shared" ca="1" si="177"/>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si="178"/>
        <v>0</v>
      </c>
      <c r="Y1250" s="263"/>
      <c r="Z1250" s="263"/>
      <c r="AB1250" s="265" t="str">
        <f t="shared" si="179"/>
        <v/>
      </c>
    </row>
    <row r="1251" spans="1:28" s="264" customFormat="1" ht="20.399999999999999">
      <c r="A1251" s="207"/>
      <c r="B1251" s="208"/>
      <c r="C1251" s="212"/>
      <c r="D1251" s="270"/>
      <c r="E1251" s="208"/>
      <c r="F1251" s="208"/>
      <c r="G1251" s="208"/>
      <c r="H1251" s="209"/>
      <c r="I1251" s="210"/>
      <c r="J1251" s="210"/>
      <c r="K1251" s="260"/>
      <c r="L1251" s="260"/>
      <c r="M1251" s="260"/>
      <c r="N1251" s="260"/>
      <c r="O1251" s="260"/>
      <c r="P1251" s="211"/>
      <c r="Q1251" s="261"/>
      <c r="R1251" s="208" t="str">
        <f ca="1">IF(ISERROR($V1251),"",OFFSET('Smelter Look-up'!$C$4,$V1251-4,0)&amp;"")</f>
        <v/>
      </c>
      <c r="S1251" s="215" t="str">
        <f t="shared" ca="1" si="177"/>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si="178"/>
        <v>0</v>
      </c>
      <c r="Y1251" s="263"/>
      <c r="Z1251" s="263"/>
      <c r="AB1251" s="265" t="str">
        <f t="shared" si="179"/>
        <v/>
      </c>
    </row>
    <row r="1252" spans="1:28" s="264" customFormat="1" ht="20.399999999999999">
      <c r="A1252" s="207"/>
      <c r="B1252" s="208"/>
      <c r="C1252" s="212"/>
      <c r="D1252" s="270"/>
      <c r="E1252" s="208"/>
      <c r="F1252" s="208"/>
      <c r="G1252" s="208"/>
      <c r="H1252" s="209"/>
      <c r="I1252" s="210"/>
      <c r="J1252" s="210"/>
      <c r="K1252" s="260"/>
      <c r="L1252" s="260"/>
      <c r="M1252" s="260"/>
      <c r="N1252" s="260"/>
      <c r="O1252" s="260"/>
      <c r="P1252" s="211"/>
      <c r="Q1252" s="261"/>
      <c r="R1252" s="208" t="str">
        <f ca="1">IF(ISERROR($V1252),"",OFFSET('Smelter Look-up'!$C$4,$V1252-4,0)&amp;"")</f>
        <v/>
      </c>
      <c r="S1252" s="215" t="str">
        <f t="shared" ca="1" si="177"/>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si="178"/>
        <v>0</v>
      </c>
      <c r="Y1252" s="263"/>
      <c r="Z1252" s="263"/>
      <c r="AB1252" s="265" t="str">
        <f t="shared" si="179"/>
        <v/>
      </c>
    </row>
    <row r="1253" spans="1:28" s="264" customFormat="1" ht="20.399999999999999">
      <c r="A1253" s="207"/>
      <c r="B1253" s="208"/>
      <c r="C1253" s="212"/>
      <c r="D1253" s="270"/>
      <c r="E1253" s="208"/>
      <c r="F1253" s="208"/>
      <c r="G1253" s="208"/>
      <c r="H1253" s="209"/>
      <c r="I1253" s="210"/>
      <c r="J1253" s="210"/>
      <c r="K1253" s="260"/>
      <c r="L1253" s="260"/>
      <c r="M1253" s="260"/>
      <c r="N1253" s="260"/>
      <c r="O1253" s="260"/>
      <c r="P1253" s="211"/>
      <c r="Q1253" s="261"/>
      <c r="R1253" s="208" t="str">
        <f ca="1">IF(ISERROR($V1253),"",OFFSET('Smelter Look-up'!$C$4,$V1253-4,0)&amp;"")</f>
        <v/>
      </c>
      <c r="S1253" s="215" t="str">
        <f t="shared" ca="1" si="177"/>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si="178"/>
        <v>0</v>
      </c>
      <c r="Y1253" s="263"/>
      <c r="Z1253" s="263"/>
      <c r="AB1253" s="265" t="str">
        <f t="shared" si="179"/>
        <v/>
      </c>
    </row>
    <row r="1254" spans="1:28" s="264" customFormat="1" ht="20.399999999999999">
      <c r="A1254" s="207"/>
      <c r="B1254" s="208"/>
      <c r="C1254" s="212"/>
      <c r="D1254" s="270"/>
      <c r="E1254" s="208"/>
      <c r="F1254" s="208"/>
      <c r="G1254" s="208"/>
      <c r="H1254" s="209"/>
      <c r="I1254" s="210"/>
      <c r="J1254" s="210"/>
      <c r="K1254" s="260"/>
      <c r="L1254" s="260"/>
      <c r="M1254" s="260"/>
      <c r="N1254" s="260"/>
      <c r="O1254" s="260"/>
      <c r="P1254" s="211"/>
      <c r="Q1254" s="261"/>
      <c r="R1254" s="208" t="str">
        <f ca="1">IF(ISERROR($V1254),"",OFFSET('Smelter Look-up'!$C$4,$V1254-4,0)&amp;"")</f>
        <v/>
      </c>
      <c r="S1254" s="215" t="str">
        <f t="shared" ca="1" si="177"/>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si="178"/>
        <v>0</v>
      </c>
      <c r="Y1254" s="263"/>
      <c r="Z1254" s="263"/>
      <c r="AB1254" s="265" t="str">
        <f t="shared" si="179"/>
        <v/>
      </c>
    </row>
    <row r="1255" spans="1:28" s="264" customFormat="1" ht="20.399999999999999">
      <c r="A1255" s="207"/>
      <c r="B1255" s="208"/>
      <c r="C1255" s="212"/>
      <c r="D1255" s="270"/>
      <c r="E1255" s="208"/>
      <c r="F1255" s="208"/>
      <c r="G1255" s="208"/>
      <c r="H1255" s="209"/>
      <c r="I1255" s="210"/>
      <c r="J1255" s="210"/>
      <c r="K1255" s="260"/>
      <c r="L1255" s="260"/>
      <c r="M1255" s="260"/>
      <c r="N1255" s="260"/>
      <c r="O1255" s="260"/>
      <c r="P1255" s="211"/>
      <c r="Q1255" s="261"/>
      <c r="R1255" s="208" t="str">
        <f ca="1">IF(ISERROR($V1255),"",OFFSET('Smelter Look-up'!$C$4,$V1255-4,0)&amp;"")</f>
        <v/>
      </c>
      <c r="S1255" s="215" t="str">
        <f t="shared" ca="1" si="177"/>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si="178"/>
        <v>0</v>
      </c>
      <c r="Y1255" s="263"/>
      <c r="Z1255" s="263"/>
      <c r="AB1255" s="265" t="str">
        <f t="shared" si="179"/>
        <v/>
      </c>
    </row>
    <row r="1256" spans="1:28" s="264" customFormat="1" ht="20.399999999999999">
      <c r="A1256" s="207"/>
      <c r="B1256" s="208"/>
      <c r="C1256" s="212"/>
      <c r="D1256" s="270"/>
      <c r="E1256" s="208"/>
      <c r="F1256" s="208"/>
      <c r="G1256" s="208"/>
      <c r="H1256" s="209"/>
      <c r="I1256" s="210"/>
      <c r="J1256" s="210"/>
      <c r="K1256" s="260"/>
      <c r="L1256" s="260"/>
      <c r="M1256" s="260"/>
      <c r="N1256" s="260"/>
      <c r="O1256" s="260"/>
      <c r="P1256" s="211"/>
      <c r="Q1256" s="261"/>
      <c r="R1256" s="208" t="str">
        <f ca="1">IF(ISERROR($V1256),"",OFFSET('Smelter Look-up'!$C$4,$V1256-4,0)&amp;"")</f>
        <v/>
      </c>
      <c r="S1256" s="215" t="str">
        <f t="shared" ca="1" si="177"/>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si="178"/>
        <v>0</v>
      </c>
      <c r="Y1256" s="263"/>
      <c r="Z1256" s="263"/>
      <c r="AB1256" s="265" t="str">
        <f t="shared" si="179"/>
        <v/>
      </c>
    </row>
    <row r="1257" spans="1:28" s="264" customFormat="1" ht="20.399999999999999">
      <c r="A1257" s="207"/>
      <c r="B1257" s="208"/>
      <c r="C1257" s="212"/>
      <c r="D1257" s="270"/>
      <c r="E1257" s="208"/>
      <c r="F1257" s="208"/>
      <c r="G1257" s="208"/>
      <c r="H1257" s="209"/>
      <c r="I1257" s="210"/>
      <c r="J1257" s="210"/>
      <c r="K1257" s="260"/>
      <c r="L1257" s="260"/>
      <c r="M1257" s="260"/>
      <c r="N1257" s="260"/>
      <c r="O1257" s="260"/>
      <c r="P1257" s="211"/>
      <c r="Q1257" s="261"/>
      <c r="R1257" s="208" t="str">
        <f ca="1">IF(ISERROR($V1257),"",OFFSET('Smelter Look-up'!$C$4,$V1257-4,0)&amp;"")</f>
        <v/>
      </c>
      <c r="S1257" s="215" t="str">
        <f t="shared" ca="1" si="177"/>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si="178"/>
        <v>0</v>
      </c>
      <c r="Y1257" s="263"/>
      <c r="Z1257" s="263"/>
      <c r="AB1257" s="265" t="str">
        <f t="shared" si="179"/>
        <v/>
      </c>
    </row>
    <row r="1258" spans="1:28" s="264" customFormat="1" ht="20.399999999999999">
      <c r="A1258" s="207"/>
      <c r="B1258" s="208"/>
      <c r="C1258" s="212"/>
      <c r="D1258" s="270"/>
      <c r="E1258" s="208"/>
      <c r="F1258" s="208"/>
      <c r="G1258" s="208"/>
      <c r="H1258" s="209"/>
      <c r="I1258" s="210"/>
      <c r="J1258" s="210"/>
      <c r="K1258" s="260"/>
      <c r="L1258" s="260"/>
      <c r="M1258" s="260"/>
      <c r="N1258" s="260"/>
      <c r="O1258" s="260"/>
      <c r="P1258" s="211"/>
      <c r="Q1258" s="261"/>
      <c r="R1258" s="208" t="str">
        <f ca="1">IF(ISERROR($V1258),"",OFFSET('Smelter Look-up'!$C$4,$V1258-4,0)&amp;"")</f>
        <v/>
      </c>
      <c r="S1258" s="215" t="str">
        <f t="shared" ca="1" si="177"/>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si="178"/>
        <v>0</v>
      </c>
      <c r="Y1258" s="263"/>
      <c r="Z1258" s="263"/>
      <c r="AB1258" s="265" t="str">
        <f t="shared" si="179"/>
        <v/>
      </c>
    </row>
    <row r="1259" spans="1:28" s="264" customFormat="1" ht="20.399999999999999">
      <c r="A1259" s="207"/>
      <c r="B1259" s="208"/>
      <c r="C1259" s="212"/>
      <c r="D1259" s="270"/>
      <c r="E1259" s="208"/>
      <c r="F1259" s="208"/>
      <c r="G1259" s="208"/>
      <c r="H1259" s="209"/>
      <c r="I1259" s="210"/>
      <c r="J1259" s="210"/>
      <c r="K1259" s="260"/>
      <c r="L1259" s="260"/>
      <c r="M1259" s="260"/>
      <c r="N1259" s="260"/>
      <c r="O1259" s="260"/>
      <c r="P1259" s="211"/>
      <c r="Q1259" s="261"/>
      <c r="R1259" s="208" t="str">
        <f ca="1">IF(ISERROR($V1259),"",OFFSET('Smelter Look-up'!$C$4,$V1259-4,0)&amp;"")</f>
        <v/>
      </c>
      <c r="S1259" s="215" t="str">
        <f t="shared" ca="1" si="177"/>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si="178"/>
        <v>0</v>
      </c>
      <c r="Y1259" s="263"/>
      <c r="Z1259" s="263"/>
      <c r="AB1259" s="265" t="str">
        <f t="shared" si="179"/>
        <v/>
      </c>
    </row>
    <row r="1260" spans="1:28" s="264" customFormat="1" ht="20.399999999999999">
      <c r="A1260" s="207"/>
      <c r="B1260" s="208"/>
      <c r="C1260" s="212"/>
      <c r="D1260" s="270"/>
      <c r="E1260" s="208"/>
      <c r="F1260" s="208"/>
      <c r="G1260" s="208"/>
      <c r="H1260" s="209"/>
      <c r="I1260" s="210"/>
      <c r="J1260" s="210"/>
      <c r="K1260" s="260"/>
      <c r="L1260" s="260"/>
      <c r="M1260" s="260"/>
      <c r="N1260" s="260"/>
      <c r="O1260" s="260"/>
      <c r="P1260" s="211"/>
      <c r="Q1260" s="261"/>
      <c r="R1260" s="208" t="str">
        <f ca="1">IF(ISERROR($V1260),"",OFFSET('Smelter Look-up'!$C$4,$V1260-4,0)&amp;"")</f>
        <v/>
      </c>
      <c r="S1260" s="215" t="str">
        <f t="shared" ca="1" si="177"/>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si="178"/>
        <v>0</v>
      </c>
      <c r="Y1260" s="263"/>
      <c r="Z1260" s="263"/>
      <c r="AB1260" s="265" t="str">
        <f t="shared" si="179"/>
        <v/>
      </c>
    </row>
    <row r="1261" spans="1:28" s="264" customFormat="1" ht="20.399999999999999">
      <c r="A1261" s="207"/>
      <c r="B1261" s="208"/>
      <c r="C1261" s="212"/>
      <c r="D1261" s="270"/>
      <c r="E1261" s="208"/>
      <c r="F1261" s="208"/>
      <c r="G1261" s="208"/>
      <c r="H1261" s="209"/>
      <c r="I1261" s="210"/>
      <c r="J1261" s="210"/>
      <c r="K1261" s="260"/>
      <c r="L1261" s="260"/>
      <c r="M1261" s="260"/>
      <c r="N1261" s="260"/>
      <c r="O1261" s="260"/>
      <c r="P1261" s="211"/>
      <c r="Q1261" s="261"/>
      <c r="R1261" s="208" t="str">
        <f ca="1">IF(ISERROR($V1261),"",OFFSET('Smelter Look-up'!$C$4,$V1261-4,0)&amp;"")</f>
        <v/>
      </c>
      <c r="S1261" s="215" t="str">
        <f t="shared" ca="1" si="177"/>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si="178"/>
        <v>0</v>
      </c>
      <c r="Y1261" s="263"/>
      <c r="Z1261" s="263"/>
      <c r="AB1261" s="265" t="str">
        <f t="shared" si="179"/>
        <v/>
      </c>
    </row>
    <row r="1262" spans="1:28" s="264" customFormat="1" ht="20.399999999999999">
      <c r="A1262" s="207"/>
      <c r="B1262" s="208"/>
      <c r="C1262" s="212"/>
      <c r="D1262" s="270"/>
      <c r="E1262" s="208"/>
      <c r="F1262" s="208"/>
      <c r="G1262" s="208"/>
      <c r="H1262" s="209"/>
      <c r="I1262" s="210"/>
      <c r="J1262" s="210"/>
      <c r="K1262" s="260"/>
      <c r="L1262" s="260"/>
      <c r="M1262" s="260"/>
      <c r="N1262" s="260"/>
      <c r="O1262" s="260"/>
      <c r="P1262" s="211"/>
      <c r="Q1262" s="261"/>
      <c r="R1262" s="208" t="str">
        <f ca="1">IF(ISERROR($V1262),"",OFFSET('Smelter Look-up'!$C$4,$V1262-4,0)&amp;"")</f>
        <v/>
      </c>
      <c r="S1262" s="215" t="str">
        <f t="shared" ca="1" si="177"/>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si="178"/>
        <v>0</v>
      </c>
      <c r="Y1262" s="263"/>
      <c r="Z1262" s="263"/>
      <c r="AB1262" s="265" t="str">
        <f t="shared" si="179"/>
        <v/>
      </c>
    </row>
    <row r="1263" spans="1:28" s="264" customFormat="1" ht="20.399999999999999">
      <c r="A1263" s="207"/>
      <c r="B1263" s="208"/>
      <c r="C1263" s="212"/>
      <c r="D1263" s="270"/>
      <c r="E1263" s="208"/>
      <c r="F1263" s="208"/>
      <c r="G1263" s="208"/>
      <c r="H1263" s="209"/>
      <c r="I1263" s="210"/>
      <c r="J1263" s="210"/>
      <c r="K1263" s="260"/>
      <c r="L1263" s="260"/>
      <c r="M1263" s="260"/>
      <c r="N1263" s="260"/>
      <c r="O1263" s="260"/>
      <c r="P1263" s="211"/>
      <c r="Q1263" s="261"/>
      <c r="R1263" s="208" t="str">
        <f ca="1">IF(ISERROR($V1263),"",OFFSET('Smelter Look-up'!$C$4,$V1263-4,0)&amp;"")</f>
        <v/>
      </c>
      <c r="S1263" s="215" t="str">
        <f t="shared" ca="1" si="177"/>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si="178"/>
        <v>0</v>
      </c>
      <c r="Y1263" s="263"/>
      <c r="Z1263" s="263"/>
      <c r="AB1263" s="265" t="str">
        <f t="shared" si="179"/>
        <v/>
      </c>
    </row>
    <row r="1264" spans="1:28" s="264" customFormat="1" ht="20.399999999999999">
      <c r="A1264" s="207"/>
      <c r="B1264" s="208"/>
      <c r="C1264" s="212"/>
      <c r="D1264" s="270"/>
      <c r="E1264" s="208"/>
      <c r="F1264" s="208"/>
      <c r="G1264" s="208"/>
      <c r="H1264" s="209"/>
      <c r="I1264" s="210"/>
      <c r="J1264" s="210"/>
      <c r="K1264" s="260"/>
      <c r="L1264" s="260"/>
      <c r="M1264" s="260"/>
      <c r="N1264" s="260"/>
      <c r="O1264" s="260"/>
      <c r="P1264" s="211"/>
      <c r="Q1264" s="261"/>
      <c r="R1264" s="208" t="str">
        <f ca="1">IF(ISERROR($V1264),"",OFFSET('Smelter Look-up'!$C$4,$V1264-4,0)&amp;"")</f>
        <v/>
      </c>
      <c r="S1264" s="215" t="str">
        <f t="shared" ca="1" si="177"/>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si="178"/>
        <v>0</v>
      </c>
      <c r="Y1264" s="263"/>
      <c r="Z1264" s="263"/>
      <c r="AB1264" s="265" t="str">
        <f t="shared" si="179"/>
        <v/>
      </c>
    </row>
    <row r="1265" spans="1:28" s="264" customFormat="1" ht="20.399999999999999">
      <c r="A1265" s="207"/>
      <c r="B1265" s="208"/>
      <c r="C1265" s="212"/>
      <c r="D1265" s="270"/>
      <c r="E1265" s="208"/>
      <c r="F1265" s="208"/>
      <c r="G1265" s="208"/>
      <c r="H1265" s="209"/>
      <c r="I1265" s="210"/>
      <c r="J1265" s="210"/>
      <c r="K1265" s="260"/>
      <c r="L1265" s="260"/>
      <c r="M1265" s="260"/>
      <c r="N1265" s="260"/>
      <c r="O1265" s="260"/>
      <c r="P1265" s="211"/>
      <c r="Q1265" s="261"/>
      <c r="R1265" s="208" t="str">
        <f ca="1">IF(ISERROR($V1265),"",OFFSET('Smelter Look-up'!$C$4,$V1265-4,0)&amp;"")</f>
        <v/>
      </c>
      <c r="S1265" s="215" t="str">
        <f t="shared" ca="1" si="177"/>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si="178"/>
        <v>0</v>
      </c>
      <c r="Y1265" s="263"/>
      <c r="Z1265" s="263"/>
      <c r="AB1265" s="265" t="str">
        <f t="shared" si="179"/>
        <v/>
      </c>
    </row>
    <row r="1266" spans="1:28" s="264" customFormat="1" ht="20.399999999999999">
      <c r="A1266" s="207"/>
      <c r="B1266" s="208"/>
      <c r="C1266" s="212"/>
      <c r="D1266" s="270"/>
      <c r="E1266" s="208"/>
      <c r="F1266" s="208"/>
      <c r="G1266" s="208"/>
      <c r="H1266" s="209"/>
      <c r="I1266" s="210"/>
      <c r="J1266" s="210"/>
      <c r="K1266" s="260"/>
      <c r="L1266" s="260"/>
      <c r="M1266" s="260"/>
      <c r="N1266" s="260"/>
      <c r="O1266" s="260"/>
      <c r="P1266" s="211"/>
      <c r="Q1266" s="261"/>
      <c r="R1266" s="208" t="str">
        <f ca="1">IF(ISERROR($V1266),"",OFFSET('Smelter Look-up'!$C$4,$V1266-4,0)&amp;"")</f>
        <v/>
      </c>
      <c r="S1266" s="215" t="str">
        <f t="shared" ca="1" si="177"/>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si="178"/>
        <v>0</v>
      </c>
      <c r="Y1266" s="263"/>
      <c r="Z1266" s="263"/>
      <c r="AB1266" s="265" t="str">
        <f t="shared" si="179"/>
        <v/>
      </c>
    </row>
    <row r="1267" spans="1:28" s="264" customFormat="1" ht="20.399999999999999">
      <c r="A1267" s="207"/>
      <c r="B1267" s="208"/>
      <c r="C1267" s="212"/>
      <c r="D1267" s="270"/>
      <c r="E1267" s="208"/>
      <c r="F1267" s="208"/>
      <c r="G1267" s="208"/>
      <c r="H1267" s="209"/>
      <c r="I1267" s="210"/>
      <c r="J1267" s="210"/>
      <c r="K1267" s="260"/>
      <c r="L1267" s="260"/>
      <c r="M1267" s="260"/>
      <c r="N1267" s="260"/>
      <c r="O1267" s="260"/>
      <c r="P1267" s="211"/>
      <c r="Q1267" s="261"/>
      <c r="R1267" s="208" t="str">
        <f ca="1">IF(ISERROR($V1267),"",OFFSET('Smelter Look-up'!$C$4,$V1267-4,0)&amp;"")</f>
        <v/>
      </c>
      <c r="S1267" s="215" t="str">
        <f t="shared" ca="1" si="177"/>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si="178"/>
        <v>0</v>
      </c>
      <c r="Y1267" s="263"/>
      <c r="Z1267" s="263"/>
      <c r="AB1267" s="265" t="str">
        <f t="shared" si="179"/>
        <v/>
      </c>
    </row>
    <row r="1268" spans="1:28" s="264" customFormat="1" ht="20.399999999999999">
      <c r="A1268" s="207"/>
      <c r="B1268" s="208"/>
      <c r="C1268" s="212"/>
      <c r="D1268" s="270"/>
      <c r="E1268" s="208"/>
      <c r="F1268" s="208"/>
      <c r="G1268" s="208"/>
      <c r="H1268" s="209"/>
      <c r="I1268" s="210"/>
      <c r="J1268" s="210"/>
      <c r="K1268" s="260"/>
      <c r="L1268" s="260"/>
      <c r="M1268" s="260"/>
      <c r="N1268" s="260"/>
      <c r="O1268" s="260"/>
      <c r="P1268" s="211"/>
      <c r="Q1268" s="261"/>
      <c r="R1268" s="208" t="str">
        <f ca="1">IF(ISERROR($V1268),"",OFFSET('Smelter Look-up'!$C$4,$V1268-4,0)&amp;"")</f>
        <v/>
      </c>
      <c r="S1268" s="215" t="str">
        <f t="shared" ca="1" si="177"/>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si="178"/>
        <v>0</v>
      </c>
      <c r="Y1268" s="263"/>
      <c r="Z1268" s="263"/>
      <c r="AB1268" s="265" t="str">
        <f t="shared" si="179"/>
        <v/>
      </c>
    </row>
    <row r="1269" spans="1:28" s="264" customFormat="1" ht="20.399999999999999">
      <c r="A1269" s="207"/>
      <c r="B1269" s="208"/>
      <c r="C1269" s="212"/>
      <c r="D1269" s="270"/>
      <c r="E1269" s="208"/>
      <c r="F1269" s="208"/>
      <c r="G1269" s="208"/>
      <c r="H1269" s="209"/>
      <c r="I1269" s="210"/>
      <c r="J1269" s="210"/>
      <c r="K1269" s="260"/>
      <c r="L1269" s="260"/>
      <c r="M1269" s="260"/>
      <c r="N1269" s="260"/>
      <c r="O1269" s="260"/>
      <c r="P1269" s="211"/>
      <c r="Q1269" s="261"/>
      <c r="R1269" s="208" t="str">
        <f ca="1">IF(ISERROR($V1269),"",OFFSET('Smelter Look-up'!$C$4,$V1269-4,0)&amp;"")</f>
        <v/>
      </c>
      <c r="S1269" s="215" t="str">
        <f t="shared" ca="1" si="177"/>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si="178"/>
        <v>0</v>
      </c>
      <c r="Y1269" s="263"/>
      <c r="Z1269" s="263"/>
      <c r="AB1269" s="265" t="str">
        <f t="shared" si="179"/>
        <v/>
      </c>
    </row>
    <row r="1270" spans="1:28" s="264" customFormat="1" ht="20.399999999999999">
      <c r="A1270" s="207"/>
      <c r="B1270" s="208"/>
      <c r="C1270" s="212"/>
      <c r="D1270" s="270"/>
      <c r="E1270" s="208"/>
      <c r="F1270" s="208"/>
      <c r="G1270" s="208"/>
      <c r="H1270" s="209"/>
      <c r="I1270" s="210"/>
      <c r="J1270" s="210"/>
      <c r="K1270" s="260"/>
      <c r="L1270" s="260"/>
      <c r="M1270" s="260"/>
      <c r="N1270" s="260"/>
      <c r="O1270" s="260"/>
      <c r="P1270" s="211"/>
      <c r="Q1270" s="261"/>
      <c r="R1270" s="208" t="str">
        <f ca="1">IF(ISERROR($V1270),"",OFFSET('Smelter Look-up'!$C$4,$V1270-4,0)&amp;"")</f>
        <v/>
      </c>
      <c r="S1270" s="215" t="str">
        <f t="shared" ca="1" si="177"/>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si="178"/>
        <v>0</v>
      </c>
      <c r="Y1270" s="263"/>
      <c r="Z1270" s="263"/>
      <c r="AB1270" s="265" t="str">
        <f t="shared" si="179"/>
        <v/>
      </c>
    </row>
    <row r="1271" spans="1:28" s="264" customFormat="1" ht="20.399999999999999">
      <c r="A1271" s="207"/>
      <c r="B1271" s="208"/>
      <c r="C1271" s="212"/>
      <c r="D1271" s="270"/>
      <c r="E1271" s="208"/>
      <c r="F1271" s="208"/>
      <c r="G1271" s="208"/>
      <c r="H1271" s="209"/>
      <c r="I1271" s="210"/>
      <c r="J1271" s="210"/>
      <c r="K1271" s="260"/>
      <c r="L1271" s="260"/>
      <c r="M1271" s="260"/>
      <c r="N1271" s="260"/>
      <c r="O1271" s="260"/>
      <c r="P1271" s="211"/>
      <c r="Q1271" s="261"/>
      <c r="R1271" s="208" t="str">
        <f ca="1">IF(ISERROR($V1271),"",OFFSET('Smelter Look-up'!$C$4,$V1271-4,0)&amp;"")</f>
        <v/>
      </c>
      <c r="S1271" s="215" t="str">
        <f t="shared" ca="1" si="177"/>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si="178"/>
        <v>0</v>
      </c>
      <c r="Y1271" s="263"/>
      <c r="Z1271" s="263"/>
      <c r="AB1271" s="265" t="str">
        <f t="shared" si="179"/>
        <v/>
      </c>
    </row>
    <row r="1272" spans="1:28" s="264" customFormat="1" ht="20.399999999999999">
      <c r="A1272" s="207"/>
      <c r="B1272" s="208"/>
      <c r="C1272" s="212"/>
      <c r="D1272" s="270"/>
      <c r="E1272" s="208"/>
      <c r="F1272" s="208"/>
      <c r="G1272" s="208"/>
      <c r="H1272" s="209"/>
      <c r="I1272" s="210"/>
      <c r="J1272" s="210"/>
      <c r="K1272" s="260"/>
      <c r="L1272" s="260"/>
      <c r="M1272" s="260"/>
      <c r="N1272" s="260"/>
      <c r="O1272" s="260"/>
      <c r="P1272" s="211"/>
      <c r="Q1272" s="261"/>
      <c r="R1272" s="208" t="str">
        <f ca="1">IF(ISERROR($V1272),"",OFFSET('Smelter Look-up'!$C$4,$V1272-4,0)&amp;"")</f>
        <v/>
      </c>
      <c r="S1272" s="215" t="str">
        <f t="shared" ca="1" si="177"/>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si="178"/>
        <v>0</v>
      </c>
      <c r="Y1272" s="263"/>
      <c r="Z1272" s="263"/>
      <c r="AB1272" s="265" t="str">
        <f t="shared" si="179"/>
        <v/>
      </c>
    </row>
    <row r="1273" spans="1:28" s="264" customFormat="1" ht="20.399999999999999">
      <c r="A1273" s="207"/>
      <c r="B1273" s="208"/>
      <c r="C1273" s="212"/>
      <c r="D1273" s="270"/>
      <c r="E1273" s="208"/>
      <c r="F1273" s="208"/>
      <c r="G1273" s="208"/>
      <c r="H1273" s="209"/>
      <c r="I1273" s="210"/>
      <c r="J1273" s="210"/>
      <c r="K1273" s="260"/>
      <c r="L1273" s="260"/>
      <c r="M1273" s="260"/>
      <c r="N1273" s="260"/>
      <c r="O1273" s="260"/>
      <c r="P1273" s="211"/>
      <c r="Q1273" s="261"/>
      <c r="R1273" s="208" t="str">
        <f ca="1">IF(ISERROR($V1273),"",OFFSET('Smelter Look-up'!$C$4,$V1273-4,0)&amp;"")</f>
        <v/>
      </c>
      <c r="S1273" s="215" t="str">
        <f t="shared" ca="1" si="177"/>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si="178"/>
        <v>0</v>
      </c>
      <c r="Y1273" s="263"/>
      <c r="Z1273" s="263"/>
      <c r="AB1273" s="265" t="str">
        <f t="shared" si="179"/>
        <v/>
      </c>
    </row>
    <row r="1274" spans="1:28" s="264" customFormat="1" ht="20.399999999999999">
      <c r="A1274" s="207"/>
      <c r="B1274" s="208"/>
      <c r="C1274" s="212"/>
      <c r="D1274" s="270"/>
      <c r="E1274" s="208"/>
      <c r="F1274" s="208"/>
      <c r="G1274" s="208"/>
      <c r="H1274" s="209"/>
      <c r="I1274" s="210"/>
      <c r="J1274" s="210"/>
      <c r="K1274" s="260"/>
      <c r="L1274" s="260"/>
      <c r="M1274" s="260"/>
      <c r="N1274" s="260"/>
      <c r="O1274" s="260"/>
      <c r="P1274" s="211"/>
      <c r="Q1274" s="261"/>
      <c r="R1274" s="208" t="str">
        <f ca="1">IF(ISERROR($V1274),"",OFFSET('Smelter Look-up'!$C$4,$V1274-4,0)&amp;"")</f>
        <v/>
      </c>
      <c r="S1274" s="215" t="str">
        <f t="shared" ca="1" si="177"/>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si="178"/>
        <v>0</v>
      </c>
      <c r="Y1274" s="263"/>
      <c r="Z1274" s="263"/>
      <c r="AB1274" s="265" t="str">
        <f t="shared" si="179"/>
        <v/>
      </c>
    </row>
    <row r="1275" spans="1:28" s="264" customFormat="1" ht="20.399999999999999">
      <c r="A1275" s="207"/>
      <c r="B1275" s="208"/>
      <c r="C1275" s="212"/>
      <c r="D1275" s="270"/>
      <c r="E1275" s="208"/>
      <c r="F1275" s="208"/>
      <c r="G1275" s="208"/>
      <c r="H1275" s="209"/>
      <c r="I1275" s="210"/>
      <c r="J1275" s="210"/>
      <c r="K1275" s="260"/>
      <c r="L1275" s="260"/>
      <c r="M1275" s="260"/>
      <c r="N1275" s="260"/>
      <c r="O1275" s="260"/>
      <c r="P1275" s="211"/>
      <c r="Q1275" s="261"/>
      <c r="R1275" s="208" t="str">
        <f ca="1">IF(ISERROR($V1275),"",OFFSET('Smelter Look-up'!$C$4,$V1275-4,0)&amp;"")</f>
        <v/>
      </c>
      <c r="S1275" s="215" t="str">
        <f t="shared" ref="S1275" ca="1" si="180">IF(B1275="","",IF(ISERROR(MATCH($E1275,CL,0)),"Unknown",INDIRECT("'C'!$A$"&amp;MATCH($E1275,CL,0)+1)))</f>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ref="X1275" si="181">IF(AND(C1275="Smelter not listed",OR(LEN(D1275)=0,LEN(E1275)=0)),1,0)</f>
        <v>0</v>
      </c>
      <c r="Y1275" s="263"/>
      <c r="Z1275" s="263"/>
      <c r="AB1275" s="265" t="str">
        <f t="shared" ref="AB1275" si="182">B1275&amp;C1275</f>
        <v/>
      </c>
    </row>
    <row r="1276" spans="1:28" s="264" customFormat="1" ht="20.399999999999999">
      <c r="A1276" s="207"/>
      <c r="B1276" s="208"/>
      <c r="C1276" s="212"/>
      <c r="D1276" s="270"/>
      <c r="E1276" s="208"/>
      <c r="F1276" s="208"/>
      <c r="G1276" s="208"/>
      <c r="H1276" s="209"/>
      <c r="I1276" s="210"/>
      <c r="J1276" s="210"/>
      <c r="K1276" s="260"/>
      <c r="L1276" s="260"/>
      <c r="M1276" s="260"/>
      <c r="N1276" s="260"/>
      <c r="O1276" s="260"/>
      <c r="P1276" s="211"/>
      <c r="Q1276" s="261"/>
      <c r="R1276" s="208" t="str">
        <f ca="1">IF(ISERROR($V1276),"",OFFSET('Smelter Look-up'!$C$4,$V1276-4,0)&amp;"")</f>
        <v/>
      </c>
      <c r="S1276" s="215" t="str">
        <f t="shared" ref="S1276:S1307" ca="1" si="183">IF(B1276="","",IF(ISERROR(MATCH($E1276,CL,0)),"Unknown",INDIRECT("'C'!$A$"&amp;MATCH($E1276,CL,0)+1)))</f>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ref="X1276:X1307" si="184">IF(AND(C1276="Smelter not listed",OR(LEN(D1276)=0,LEN(E1276)=0)),1,0)</f>
        <v>0</v>
      </c>
      <c r="Y1276" s="263"/>
      <c r="Z1276" s="263"/>
      <c r="AB1276" s="265" t="str">
        <f t="shared" ref="AB1276:AB1307" si="185">B1276&amp;C1276</f>
        <v/>
      </c>
    </row>
    <row r="1277" spans="1:28" s="264" customFormat="1" ht="20.399999999999999">
      <c r="A1277" s="207"/>
      <c r="B1277" s="208"/>
      <c r="C1277" s="212"/>
      <c r="D1277" s="270"/>
      <c r="E1277" s="208"/>
      <c r="F1277" s="208"/>
      <c r="G1277" s="208"/>
      <c r="H1277" s="209"/>
      <c r="I1277" s="210"/>
      <c r="J1277" s="210"/>
      <c r="K1277" s="260"/>
      <c r="L1277" s="260"/>
      <c r="M1277" s="260"/>
      <c r="N1277" s="260"/>
      <c r="O1277" s="260"/>
      <c r="P1277" s="211"/>
      <c r="Q1277" s="261"/>
      <c r="R1277" s="208" t="str">
        <f ca="1">IF(ISERROR($V1277),"",OFFSET('Smelter Look-up'!$C$4,$V1277-4,0)&amp;"")</f>
        <v/>
      </c>
      <c r="S1277" s="215" t="str">
        <f t="shared" ca="1" si="183"/>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si="184"/>
        <v>0</v>
      </c>
      <c r="Y1277" s="263"/>
      <c r="Z1277" s="263"/>
      <c r="AB1277" s="265" t="str">
        <f t="shared" si="185"/>
        <v/>
      </c>
    </row>
    <row r="1278" spans="1:28" s="264" customFormat="1" ht="20.399999999999999">
      <c r="A1278" s="207"/>
      <c r="B1278" s="208"/>
      <c r="C1278" s="212"/>
      <c r="D1278" s="270"/>
      <c r="E1278" s="208"/>
      <c r="F1278" s="208"/>
      <c r="G1278" s="208"/>
      <c r="H1278" s="209"/>
      <c r="I1278" s="210"/>
      <c r="J1278" s="210"/>
      <c r="K1278" s="260"/>
      <c r="L1278" s="260"/>
      <c r="M1278" s="260"/>
      <c r="N1278" s="260"/>
      <c r="O1278" s="260"/>
      <c r="P1278" s="211"/>
      <c r="Q1278" s="261"/>
      <c r="R1278" s="208" t="str">
        <f ca="1">IF(ISERROR($V1278),"",OFFSET('Smelter Look-up'!$C$4,$V1278-4,0)&amp;"")</f>
        <v/>
      </c>
      <c r="S1278" s="215" t="str">
        <f t="shared" ca="1" si="183"/>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si="184"/>
        <v>0</v>
      </c>
      <c r="Y1278" s="263"/>
      <c r="Z1278" s="263"/>
      <c r="AB1278" s="265" t="str">
        <f t="shared" si="185"/>
        <v/>
      </c>
    </row>
    <row r="1279" spans="1:28" s="264" customFormat="1" ht="20.399999999999999">
      <c r="A1279" s="207"/>
      <c r="B1279" s="208"/>
      <c r="C1279" s="212"/>
      <c r="D1279" s="270"/>
      <c r="E1279" s="208"/>
      <c r="F1279" s="208"/>
      <c r="G1279" s="208"/>
      <c r="H1279" s="209"/>
      <c r="I1279" s="210"/>
      <c r="J1279" s="210"/>
      <c r="K1279" s="260"/>
      <c r="L1279" s="260"/>
      <c r="M1279" s="260"/>
      <c r="N1279" s="260"/>
      <c r="O1279" s="260"/>
      <c r="P1279" s="211"/>
      <c r="Q1279" s="261"/>
      <c r="R1279" s="208" t="str">
        <f ca="1">IF(ISERROR($V1279),"",OFFSET('Smelter Look-up'!$C$4,$V1279-4,0)&amp;"")</f>
        <v/>
      </c>
      <c r="S1279" s="215" t="str">
        <f t="shared" ca="1" si="183"/>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si="184"/>
        <v>0</v>
      </c>
      <c r="Y1279" s="263"/>
      <c r="Z1279" s="263"/>
      <c r="AB1279" s="265" t="str">
        <f t="shared" si="185"/>
        <v/>
      </c>
    </row>
    <row r="1280" spans="1:28" s="264" customFormat="1" ht="20.399999999999999">
      <c r="A1280" s="207"/>
      <c r="B1280" s="208"/>
      <c r="C1280" s="212"/>
      <c r="D1280" s="270"/>
      <c r="E1280" s="208"/>
      <c r="F1280" s="208"/>
      <c r="G1280" s="208"/>
      <c r="H1280" s="209"/>
      <c r="I1280" s="210"/>
      <c r="J1280" s="210"/>
      <c r="K1280" s="260"/>
      <c r="L1280" s="260"/>
      <c r="M1280" s="260"/>
      <c r="N1280" s="260"/>
      <c r="O1280" s="260"/>
      <c r="P1280" s="211"/>
      <c r="Q1280" s="261"/>
      <c r="R1280" s="208" t="str">
        <f ca="1">IF(ISERROR($V1280),"",OFFSET('Smelter Look-up'!$C$4,$V1280-4,0)&amp;"")</f>
        <v/>
      </c>
      <c r="S1280" s="215" t="str">
        <f t="shared" ca="1" si="183"/>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si="184"/>
        <v>0</v>
      </c>
      <c r="Y1280" s="263"/>
      <c r="Z1280" s="263"/>
      <c r="AB1280" s="265" t="str">
        <f t="shared" si="185"/>
        <v/>
      </c>
    </row>
    <row r="1281" spans="1:28" s="264" customFormat="1" ht="20.399999999999999">
      <c r="A1281" s="207"/>
      <c r="B1281" s="208"/>
      <c r="C1281" s="212"/>
      <c r="D1281" s="270"/>
      <c r="E1281" s="208"/>
      <c r="F1281" s="208"/>
      <c r="G1281" s="208"/>
      <c r="H1281" s="209"/>
      <c r="I1281" s="210"/>
      <c r="J1281" s="210"/>
      <c r="K1281" s="260"/>
      <c r="L1281" s="260"/>
      <c r="M1281" s="260"/>
      <c r="N1281" s="260"/>
      <c r="O1281" s="260"/>
      <c r="P1281" s="211"/>
      <c r="Q1281" s="261"/>
      <c r="R1281" s="208" t="str">
        <f ca="1">IF(ISERROR($V1281),"",OFFSET('Smelter Look-up'!$C$4,$V1281-4,0)&amp;"")</f>
        <v/>
      </c>
      <c r="S1281" s="215" t="str">
        <f t="shared" ca="1" si="183"/>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si="184"/>
        <v>0</v>
      </c>
      <c r="Y1281" s="263"/>
      <c r="Z1281" s="263"/>
      <c r="AB1281" s="265" t="str">
        <f t="shared" si="185"/>
        <v/>
      </c>
    </row>
    <row r="1282" spans="1:28" s="264" customFormat="1" ht="20.399999999999999">
      <c r="A1282" s="207"/>
      <c r="B1282" s="208"/>
      <c r="C1282" s="212"/>
      <c r="D1282" s="270"/>
      <c r="E1282" s="208"/>
      <c r="F1282" s="208"/>
      <c r="G1282" s="208"/>
      <c r="H1282" s="209"/>
      <c r="I1282" s="210"/>
      <c r="J1282" s="210"/>
      <c r="K1282" s="260"/>
      <c r="L1282" s="260"/>
      <c r="M1282" s="260"/>
      <c r="N1282" s="260"/>
      <c r="O1282" s="260"/>
      <c r="P1282" s="211"/>
      <c r="Q1282" s="261"/>
      <c r="R1282" s="208" t="str">
        <f ca="1">IF(ISERROR($V1282),"",OFFSET('Smelter Look-up'!$C$4,$V1282-4,0)&amp;"")</f>
        <v/>
      </c>
      <c r="S1282" s="215" t="str">
        <f t="shared" ca="1" si="183"/>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si="184"/>
        <v>0</v>
      </c>
      <c r="Y1282" s="263"/>
      <c r="Z1282" s="263"/>
      <c r="AB1282" s="265" t="str">
        <f t="shared" si="185"/>
        <v/>
      </c>
    </row>
    <row r="1283" spans="1:28" s="264" customFormat="1" ht="20.399999999999999">
      <c r="A1283" s="207"/>
      <c r="B1283" s="208"/>
      <c r="C1283" s="212"/>
      <c r="D1283" s="270"/>
      <c r="E1283" s="208"/>
      <c r="F1283" s="208"/>
      <c r="G1283" s="208"/>
      <c r="H1283" s="209"/>
      <c r="I1283" s="210"/>
      <c r="J1283" s="210"/>
      <c r="K1283" s="260"/>
      <c r="L1283" s="260"/>
      <c r="M1283" s="260"/>
      <c r="N1283" s="260"/>
      <c r="O1283" s="260"/>
      <c r="P1283" s="211"/>
      <c r="Q1283" s="261"/>
      <c r="R1283" s="208" t="str">
        <f ca="1">IF(ISERROR($V1283),"",OFFSET('Smelter Look-up'!$C$4,$V1283-4,0)&amp;"")</f>
        <v/>
      </c>
      <c r="S1283" s="215" t="str">
        <f t="shared" ca="1" si="183"/>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si="184"/>
        <v>0</v>
      </c>
      <c r="Y1283" s="263"/>
      <c r="Z1283" s="263"/>
      <c r="AB1283" s="265" t="str">
        <f t="shared" si="185"/>
        <v/>
      </c>
    </row>
    <row r="1284" spans="1:28" s="264" customFormat="1" ht="20.399999999999999">
      <c r="A1284" s="207"/>
      <c r="B1284" s="208"/>
      <c r="C1284" s="212"/>
      <c r="D1284" s="270"/>
      <c r="E1284" s="208"/>
      <c r="F1284" s="208"/>
      <c r="G1284" s="208"/>
      <c r="H1284" s="209"/>
      <c r="I1284" s="210"/>
      <c r="J1284" s="210"/>
      <c r="K1284" s="260"/>
      <c r="L1284" s="260"/>
      <c r="M1284" s="260"/>
      <c r="N1284" s="260"/>
      <c r="O1284" s="260"/>
      <c r="P1284" s="211"/>
      <c r="Q1284" s="261"/>
      <c r="R1284" s="208" t="str">
        <f ca="1">IF(ISERROR($V1284),"",OFFSET('Smelter Look-up'!$C$4,$V1284-4,0)&amp;"")</f>
        <v/>
      </c>
      <c r="S1284" s="215" t="str">
        <f t="shared" ca="1" si="183"/>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si="184"/>
        <v>0</v>
      </c>
      <c r="Y1284" s="263"/>
      <c r="Z1284" s="263"/>
      <c r="AB1284" s="265" t="str">
        <f t="shared" si="185"/>
        <v/>
      </c>
    </row>
    <row r="1285" spans="1:28" s="264" customFormat="1" ht="20.399999999999999">
      <c r="A1285" s="207"/>
      <c r="B1285" s="208"/>
      <c r="C1285" s="212"/>
      <c r="D1285" s="270"/>
      <c r="E1285" s="208"/>
      <c r="F1285" s="208"/>
      <c r="G1285" s="208"/>
      <c r="H1285" s="209"/>
      <c r="I1285" s="210"/>
      <c r="J1285" s="210"/>
      <c r="K1285" s="260"/>
      <c r="L1285" s="260"/>
      <c r="M1285" s="260"/>
      <c r="N1285" s="260"/>
      <c r="O1285" s="260"/>
      <c r="P1285" s="211"/>
      <c r="Q1285" s="261"/>
      <c r="R1285" s="208" t="str">
        <f ca="1">IF(ISERROR($V1285),"",OFFSET('Smelter Look-up'!$C$4,$V1285-4,0)&amp;"")</f>
        <v/>
      </c>
      <c r="S1285" s="215" t="str">
        <f t="shared" ca="1" si="183"/>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si="184"/>
        <v>0</v>
      </c>
      <c r="Y1285" s="263"/>
      <c r="Z1285" s="263"/>
      <c r="AB1285" s="265" t="str">
        <f t="shared" si="185"/>
        <v/>
      </c>
    </row>
    <row r="1286" spans="1:28" s="264" customFormat="1" ht="20.399999999999999">
      <c r="A1286" s="207"/>
      <c r="B1286" s="208"/>
      <c r="C1286" s="212"/>
      <c r="D1286" s="270"/>
      <c r="E1286" s="208"/>
      <c r="F1286" s="208"/>
      <c r="G1286" s="208"/>
      <c r="H1286" s="209"/>
      <c r="I1286" s="210"/>
      <c r="J1286" s="210"/>
      <c r="K1286" s="260"/>
      <c r="L1286" s="260"/>
      <c r="M1286" s="260"/>
      <c r="N1286" s="260"/>
      <c r="O1286" s="260"/>
      <c r="P1286" s="211"/>
      <c r="Q1286" s="261"/>
      <c r="R1286" s="208" t="str">
        <f ca="1">IF(ISERROR($V1286),"",OFFSET('Smelter Look-up'!$C$4,$V1286-4,0)&amp;"")</f>
        <v/>
      </c>
      <c r="S1286" s="215" t="str">
        <f t="shared" ca="1" si="183"/>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si="184"/>
        <v>0</v>
      </c>
      <c r="Y1286" s="263"/>
      <c r="Z1286" s="263"/>
      <c r="AB1286" s="265" t="str">
        <f t="shared" si="185"/>
        <v/>
      </c>
    </row>
    <row r="1287" spans="1:28" s="264" customFormat="1" ht="20.399999999999999">
      <c r="A1287" s="207"/>
      <c r="B1287" s="208"/>
      <c r="C1287" s="212"/>
      <c r="D1287" s="270"/>
      <c r="E1287" s="208"/>
      <c r="F1287" s="208"/>
      <c r="G1287" s="208"/>
      <c r="H1287" s="209"/>
      <c r="I1287" s="210"/>
      <c r="J1287" s="210"/>
      <c r="K1287" s="260"/>
      <c r="L1287" s="260"/>
      <c r="M1287" s="260"/>
      <c r="N1287" s="260"/>
      <c r="O1287" s="260"/>
      <c r="P1287" s="211"/>
      <c r="Q1287" s="261"/>
      <c r="R1287" s="208" t="str">
        <f ca="1">IF(ISERROR($V1287),"",OFFSET('Smelter Look-up'!$C$4,$V1287-4,0)&amp;"")</f>
        <v/>
      </c>
      <c r="S1287" s="215" t="str">
        <f t="shared" ca="1" si="183"/>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si="184"/>
        <v>0</v>
      </c>
      <c r="Y1287" s="263"/>
      <c r="Z1287" s="263"/>
      <c r="AB1287" s="265" t="str">
        <f t="shared" si="185"/>
        <v/>
      </c>
    </row>
    <row r="1288" spans="1:28" s="264" customFormat="1" ht="20.399999999999999">
      <c r="A1288" s="207"/>
      <c r="B1288" s="208"/>
      <c r="C1288" s="212"/>
      <c r="D1288" s="270"/>
      <c r="E1288" s="208"/>
      <c r="F1288" s="208"/>
      <c r="G1288" s="208"/>
      <c r="H1288" s="209"/>
      <c r="I1288" s="210"/>
      <c r="J1288" s="210"/>
      <c r="K1288" s="260"/>
      <c r="L1288" s="260"/>
      <c r="M1288" s="260"/>
      <c r="N1288" s="260"/>
      <c r="O1288" s="260"/>
      <c r="P1288" s="211"/>
      <c r="Q1288" s="261"/>
      <c r="R1288" s="208" t="str">
        <f ca="1">IF(ISERROR($V1288),"",OFFSET('Smelter Look-up'!$C$4,$V1288-4,0)&amp;"")</f>
        <v/>
      </c>
      <c r="S1288" s="215" t="str">
        <f t="shared" ca="1" si="183"/>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si="184"/>
        <v>0</v>
      </c>
      <c r="Y1288" s="263"/>
      <c r="Z1288" s="263"/>
      <c r="AB1288" s="265" t="str">
        <f t="shared" si="185"/>
        <v/>
      </c>
    </row>
    <row r="1289" spans="1:28" s="264" customFormat="1" ht="20.399999999999999">
      <c r="A1289" s="207"/>
      <c r="B1289" s="208"/>
      <c r="C1289" s="212"/>
      <c r="D1289" s="270"/>
      <c r="E1289" s="208"/>
      <c r="F1289" s="208"/>
      <c r="G1289" s="208"/>
      <c r="H1289" s="209"/>
      <c r="I1289" s="210"/>
      <c r="J1289" s="210"/>
      <c r="K1289" s="260"/>
      <c r="L1289" s="260"/>
      <c r="M1289" s="260"/>
      <c r="N1289" s="260"/>
      <c r="O1289" s="260"/>
      <c r="P1289" s="211"/>
      <c r="Q1289" s="261"/>
      <c r="R1289" s="208" t="str">
        <f ca="1">IF(ISERROR($V1289),"",OFFSET('Smelter Look-up'!$C$4,$V1289-4,0)&amp;"")</f>
        <v/>
      </c>
      <c r="S1289" s="215" t="str">
        <f t="shared" ca="1" si="183"/>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si="184"/>
        <v>0</v>
      </c>
      <c r="Y1289" s="263"/>
      <c r="Z1289" s="263"/>
      <c r="AB1289" s="265" t="str">
        <f t="shared" si="185"/>
        <v/>
      </c>
    </row>
    <row r="1290" spans="1:28" s="264" customFormat="1" ht="20.399999999999999">
      <c r="A1290" s="207"/>
      <c r="B1290" s="208"/>
      <c r="C1290" s="212"/>
      <c r="D1290" s="270"/>
      <c r="E1290" s="208"/>
      <c r="F1290" s="208"/>
      <c r="G1290" s="208"/>
      <c r="H1290" s="209"/>
      <c r="I1290" s="210"/>
      <c r="J1290" s="210"/>
      <c r="K1290" s="260"/>
      <c r="L1290" s="260"/>
      <c r="M1290" s="260"/>
      <c r="N1290" s="260"/>
      <c r="O1290" s="260"/>
      <c r="P1290" s="211"/>
      <c r="Q1290" s="261"/>
      <c r="R1290" s="208" t="str">
        <f ca="1">IF(ISERROR($V1290),"",OFFSET('Smelter Look-up'!$C$4,$V1290-4,0)&amp;"")</f>
        <v/>
      </c>
      <c r="S1290" s="215" t="str">
        <f t="shared" ca="1" si="183"/>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si="184"/>
        <v>0</v>
      </c>
      <c r="Y1290" s="263"/>
      <c r="Z1290" s="263"/>
      <c r="AB1290" s="265" t="str">
        <f t="shared" si="185"/>
        <v/>
      </c>
    </row>
    <row r="1291" spans="1:28" s="264" customFormat="1" ht="20.399999999999999">
      <c r="A1291" s="207"/>
      <c r="B1291" s="208"/>
      <c r="C1291" s="212"/>
      <c r="D1291" s="270"/>
      <c r="E1291" s="208"/>
      <c r="F1291" s="208"/>
      <c r="G1291" s="208"/>
      <c r="H1291" s="209"/>
      <c r="I1291" s="210"/>
      <c r="J1291" s="210"/>
      <c r="K1291" s="260"/>
      <c r="L1291" s="260"/>
      <c r="M1291" s="260"/>
      <c r="N1291" s="260"/>
      <c r="O1291" s="260"/>
      <c r="P1291" s="211"/>
      <c r="Q1291" s="261"/>
      <c r="R1291" s="208" t="str">
        <f ca="1">IF(ISERROR($V1291),"",OFFSET('Smelter Look-up'!$C$4,$V1291-4,0)&amp;"")</f>
        <v/>
      </c>
      <c r="S1291" s="215" t="str">
        <f t="shared" ca="1" si="183"/>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si="184"/>
        <v>0</v>
      </c>
      <c r="Y1291" s="263"/>
      <c r="Z1291" s="263"/>
      <c r="AB1291" s="265" t="str">
        <f t="shared" si="185"/>
        <v/>
      </c>
    </row>
    <row r="1292" spans="1:28" s="264" customFormat="1" ht="20.399999999999999">
      <c r="A1292" s="207"/>
      <c r="B1292" s="208"/>
      <c r="C1292" s="212"/>
      <c r="D1292" s="270"/>
      <c r="E1292" s="208"/>
      <c r="F1292" s="208"/>
      <c r="G1292" s="208"/>
      <c r="H1292" s="209"/>
      <c r="I1292" s="210"/>
      <c r="J1292" s="210"/>
      <c r="K1292" s="260"/>
      <c r="L1292" s="260"/>
      <c r="M1292" s="260"/>
      <c r="N1292" s="260"/>
      <c r="O1292" s="260"/>
      <c r="P1292" s="211"/>
      <c r="Q1292" s="261"/>
      <c r="R1292" s="208" t="str">
        <f ca="1">IF(ISERROR($V1292),"",OFFSET('Smelter Look-up'!$C$4,$V1292-4,0)&amp;"")</f>
        <v/>
      </c>
      <c r="S1292" s="215" t="str">
        <f t="shared" ca="1" si="183"/>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si="184"/>
        <v>0</v>
      </c>
      <c r="Y1292" s="263"/>
      <c r="Z1292" s="263"/>
      <c r="AB1292" s="265" t="str">
        <f t="shared" si="185"/>
        <v/>
      </c>
    </row>
    <row r="1293" spans="1:28" s="264" customFormat="1" ht="20.399999999999999">
      <c r="A1293" s="207"/>
      <c r="B1293" s="208"/>
      <c r="C1293" s="212"/>
      <c r="D1293" s="270"/>
      <c r="E1293" s="208"/>
      <c r="F1293" s="208"/>
      <c r="G1293" s="208"/>
      <c r="H1293" s="209"/>
      <c r="I1293" s="210"/>
      <c r="J1293" s="210"/>
      <c r="K1293" s="260"/>
      <c r="L1293" s="260"/>
      <c r="M1293" s="260"/>
      <c r="N1293" s="260"/>
      <c r="O1293" s="260"/>
      <c r="P1293" s="211"/>
      <c r="Q1293" s="261"/>
      <c r="R1293" s="208" t="str">
        <f ca="1">IF(ISERROR($V1293),"",OFFSET('Smelter Look-up'!$C$4,$V1293-4,0)&amp;"")</f>
        <v/>
      </c>
      <c r="S1293" s="215" t="str">
        <f t="shared" ca="1" si="183"/>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si="184"/>
        <v>0</v>
      </c>
      <c r="Y1293" s="263"/>
      <c r="Z1293" s="263"/>
      <c r="AB1293" s="265" t="str">
        <f t="shared" si="185"/>
        <v/>
      </c>
    </row>
    <row r="1294" spans="1:28" s="264" customFormat="1" ht="20.399999999999999">
      <c r="A1294" s="207"/>
      <c r="B1294" s="208"/>
      <c r="C1294" s="212"/>
      <c r="D1294" s="270"/>
      <c r="E1294" s="208"/>
      <c r="F1294" s="208"/>
      <c r="G1294" s="208"/>
      <c r="H1294" s="209"/>
      <c r="I1294" s="210"/>
      <c r="J1294" s="210"/>
      <c r="K1294" s="260"/>
      <c r="L1294" s="260"/>
      <c r="M1294" s="260"/>
      <c r="N1294" s="260"/>
      <c r="O1294" s="260"/>
      <c r="P1294" s="211"/>
      <c r="Q1294" s="261"/>
      <c r="R1294" s="208" t="str">
        <f ca="1">IF(ISERROR($V1294),"",OFFSET('Smelter Look-up'!$C$4,$V1294-4,0)&amp;"")</f>
        <v/>
      </c>
      <c r="S1294" s="215" t="str">
        <f t="shared" ca="1" si="183"/>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si="184"/>
        <v>0</v>
      </c>
      <c r="Y1294" s="263"/>
      <c r="Z1294" s="263"/>
      <c r="AB1294" s="265" t="str">
        <f t="shared" si="185"/>
        <v/>
      </c>
    </row>
    <row r="1295" spans="1:28" s="264" customFormat="1" ht="20.399999999999999">
      <c r="A1295" s="207"/>
      <c r="B1295" s="208"/>
      <c r="C1295" s="212"/>
      <c r="D1295" s="270"/>
      <c r="E1295" s="208"/>
      <c r="F1295" s="208"/>
      <c r="G1295" s="208"/>
      <c r="H1295" s="209"/>
      <c r="I1295" s="210"/>
      <c r="J1295" s="210"/>
      <c r="K1295" s="260"/>
      <c r="L1295" s="260"/>
      <c r="M1295" s="260"/>
      <c r="N1295" s="260"/>
      <c r="O1295" s="260"/>
      <c r="P1295" s="211"/>
      <c r="Q1295" s="261"/>
      <c r="R1295" s="208" t="str">
        <f ca="1">IF(ISERROR($V1295),"",OFFSET('Smelter Look-up'!$C$4,$V1295-4,0)&amp;"")</f>
        <v/>
      </c>
      <c r="S1295" s="215" t="str">
        <f t="shared" ca="1" si="183"/>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si="184"/>
        <v>0</v>
      </c>
      <c r="Y1295" s="263"/>
      <c r="Z1295" s="263"/>
      <c r="AB1295" s="265" t="str">
        <f t="shared" si="185"/>
        <v/>
      </c>
    </row>
    <row r="1296" spans="1:28" s="264" customFormat="1" ht="20.399999999999999">
      <c r="A1296" s="207"/>
      <c r="B1296" s="208"/>
      <c r="C1296" s="212"/>
      <c r="D1296" s="270"/>
      <c r="E1296" s="208"/>
      <c r="F1296" s="208"/>
      <c r="G1296" s="208"/>
      <c r="H1296" s="209"/>
      <c r="I1296" s="210"/>
      <c r="J1296" s="210"/>
      <c r="K1296" s="260"/>
      <c r="L1296" s="260"/>
      <c r="M1296" s="260"/>
      <c r="N1296" s="260"/>
      <c r="O1296" s="260"/>
      <c r="P1296" s="211"/>
      <c r="Q1296" s="261"/>
      <c r="R1296" s="208" t="str">
        <f ca="1">IF(ISERROR($V1296),"",OFFSET('Smelter Look-up'!$C$4,$V1296-4,0)&amp;"")</f>
        <v/>
      </c>
      <c r="S1296" s="215" t="str">
        <f t="shared" ca="1" si="183"/>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si="184"/>
        <v>0</v>
      </c>
      <c r="Y1296" s="263"/>
      <c r="Z1296" s="263"/>
      <c r="AB1296" s="265" t="str">
        <f t="shared" si="185"/>
        <v/>
      </c>
    </row>
    <row r="1297" spans="1:28" s="264" customFormat="1" ht="20.399999999999999">
      <c r="A1297" s="207"/>
      <c r="B1297" s="208"/>
      <c r="C1297" s="212"/>
      <c r="D1297" s="270"/>
      <c r="E1297" s="208"/>
      <c r="F1297" s="208"/>
      <c r="G1297" s="208"/>
      <c r="H1297" s="209"/>
      <c r="I1297" s="210"/>
      <c r="J1297" s="210"/>
      <c r="K1297" s="260"/>
      <c r="L1297" s="260"/>
      <c r="M1297" s="260"/>
      <c r="N1297" s="260"/>
      <c r="O1297" s="260"/>
      <c r="P1297" s="211"/>
      <c r="Q1297" s="261"/>
      <c r="R1297" s="208" t="str">
        <f ca="1">IF(ISERROR($V1297),"",OFFSET('Smelter Look-up'!$C$4,$V1297-4,0)&amp;"")</f>
        <v/>
      </c>
      <c r="S1297" s="215" t="str">
        <f t="shared" ca="1" si="183"/>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si="184"/>
        <v>0</v>
      </c>
      <c r="Y1297" s="263"/>
      <c r="Z1297" s="263"/>
      <c r="AB1297" s="265" t="str">
        <f t="shared" si="185"/>
        <v/>
      </c>
    </row>
    <row r="1298" spans="1:28" s="264" customFormat="1" ht="20.399999999999999">
      <c r="A1298" s="207"/>
      <c r="B1298" s="208"/>
      <c r="C1298" s="212"/>
      <c r="D1298" s="270"/>
      <c r="E1298" s="208"/>
      <c r="F1298" s="208"/>
      <c r="G1298" s="208"/>
      <c r="H1298" s="209"/>
      <c r="I1298" s="210"/>
      <c r="J1298" s="210"/>
      <c r="K1298" s="260"/>
      <c r="L1298" s="260"/>
      <c r="M1298" s="260"/>
      <c r="N1298" s="260"/>
      <c r="O1298" s="260"/>
      <c r="P1298" s="211"/>
      <c r="Q1298" s="261"/>
      <c r="R1298" s="208" t="str">
        <f ca="1">IF(ISERROR($V1298),"",OFFSET('Smelter Look-up'!$C$4,$V1298-4,0)&amp;"")</f>
        <v/>
      </c>
      <c r="S1298" s="215" t="str">
        <f t="shared" ca="1" si="183"/>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si="184"/>
        <v>0</v>
      </c>
      <c r="Y1298" s="263"/>
      <c r="Z1298" s="263"/>
      <c r="AB1298" s="265" t="str">
        <f t="shared" si="185"/>
        <v/>
      </c>
    </row>
    <row r="1299" spans="1:28" s="264" customFormat="1" ht="20.399999999999999">
      <c r="A1299" s="207"/>
      <c r="B1299" s="208"/>
      <c r="C1299" s="212"/>
      <c r="D1299" s="270"/>
      <c r="E1299" s="208"/>
      <c r="F1299" s="208"/>
      <c r="G1299" s="208"/>
      <c r="H1299" s="209"/>
      <c r="I1299" s="210"/>
      <c r="J1299" s="210"/>
      <c r="K1299" s="260"/>
      <c r="L1299" s="260"/>
      <c r="M1299" s="260"/>
      <c r="N1299" s="260"/>
      <c r="O1299" s="260"/>
      <c r="P1299" s="211"/>
      <c r="Q1299" s="261"/>
      <c r="R1299" s="208" t="str">
        <f ca="1">IF(ISERROR($V1299),"",OFFSET('Smelter Look-up'!$C$4,$V1299-4,0)&amp;"")</f>
        <v/>
      </c>
      <c r="S1299" s="215" t="str">
        <f t="shared" ca="1" si="183"/>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si="184"/>
        <v>0</v>
      </c>
      <c r="Y1299" s="263"/>
      <c r="Z1299" s="263"/>
      <c r="AB1299" s="265" t="str">
        <f t="shared" si="185"/>
        <v/>
      </c>
    </row>
    <row r="1300" spans="1:28" s="264" customFormat="1" ht="20.399999999999999">
      <c r="A1300" s="207"/>
      <c r="B1300" s="208"/>
      <c r="C1300" s="212"/>
      <c r="D1300" s="270"/>
      <c r="E1300" s="208"/>
      <c r="F1300" s="208"/>
      <c r="G1300" s="208"/>
      <c r="H1300" s="209"/>
      <c r="I1300" s="210"/>
      <c r="J1300" s="210"/>
      <c r="K1300" s="260"/>
      <c r="L1300" s="260"/>
      <c r="M1300" s="260"/>
      <c r="N1300" s="260"/>
      <c r="O1300" s="260"/>
      <c r="P1300" s="211"/>
      <c r="Q1300" s="261"/>
      <c r="R1300" s="208" t="str">
        <f ca="1">IF(ISERROR($V1300),"",OFFSET('Smelter Look-up'!$C$4,$V1300-4,0)&amp;"")</f>
        <v/>
      </c>
      <c r="S1300" s="215" t="str">
        <f t="shared" ca="1" si="183"/>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si="184"/>
        <v>0</v>
      </c>
      <c r="Y1300" s="263"/>
      <c r="Z1300" s="263"/>
      <c r="AB1300" s="265" t="str">
        <f t="shared" si="185"/>
        <v/>
      </c>
    </row>
    <row r="1301" spans="1:28" s="264" customFormat="1" ht="20.399999999999999">
      <c r="A1301" s="207"/>
      <c r="B1301" s="208"/>
      <c r="C1301" s="212"/>
      <c r="D1301" s="270"/>
      <c r="E1301" s="208"/>
      <c r="F1301" s="208"/>
      <c r="G1301" s="208"/>
      <c r="H1301" s="209"/>
      <c r="I1301" s="210"/>
      <c r="J1301" s="210"/>
      <c r="K1301" s="260"/>
      <c r="L1301" s="260"/>
      <c r="M1301" s="260"/>
      <c r="N1301" s="260"/>
      <c r="O1301" s="260"/>
      <c r="P1301" s="211"/>
      <c r="Q1301" s="261"/>
      <c r="R1301" s="208" t="str">
        <f ca="1">IF(ISERROR($V1301),"",OFFSET('Smelter Look-up'!$C$4,$V1301-4,0)&amp;"")</f>
        <v/>
      </c>
      <c r="S1301" s="215" t="str">
        <f t="shared" ca="1" si="183"/>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si="184"/>
        <v>0</v>
      </c>
      <c r="Y1301" s="263"/>
      <c r="Z1301" s="263"/>
      <c r="AB1301" s="265" t="str">
        <f t="shared" si="185"/>
        <v/>
      </c>
    </row>
    <row r="1302" spans="1:28" s="264" customFormat="1" ht="20.399999999999999">
      <c r="A1302" s="207"/>
      <c r="B1302" s="208"/>
      <c r="C1302" s="212"/>
      <c r="D1302" s="270"/>
      <c r="E1302" s="208"/>
      <c r="F1302" s="208"/>
      <c r="G1302" s="208"/>
      <c r="H1302" s="209"/>
      <c r="I1302" s="210"/>
      <c r="J1302" s="210"/>
      <c r="K1302" s="260"/>
      <c r="L1302" s="260"/>
      <c r="M1302" s="260"/>
      <c r="N1302" s="260"/>
      <c r="O1302" s="260"/>
      <c r="P1302" s="211"/>
      <c r="Q1302" s="261"/>
      <c r="R1302" s="208" t="str">
        <f ca="1">IF(ISERROR($V1302),"",OFFSET('Smelter Look-up'!$C$4,$V1302-4,0)&amp;"")</f>
        <v/>
      </c>
      <c r="S1302" s="215" t="str">
        <f t="shared" ca="1" si="183"/>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si="184"/>
        <v>0</v>
      </c>
      <c r="Y1302" s="263"/>
      <c r="Z1302" s="263"/>
      <c r="AB1302" s="265" t="str">
        <f t="shared" si="185"/>
        <v/>
      </c>
    </row>
    <row r="1303" spans="1:28" s="264" customFormat="1" ht="20.399999999999999">
      <c r="A1303" s="207"/>
      <c r="B1303" s="208"/>
      <c r="C1303" s="212"/>
      <c r="D1303" s="270"/>
      <c r="E1303" s="208"/>
      <c r="F1303" s="208"/>
      <c r="G1303" s="208"/>
      <c r="H1303" s="209"/>
      <c r="I1303" s="210"/>
      <c r="J1303" s="210"/>
      <c r="K1303" s="260"/>
      <c r="L1303" s="260"/>
      <c r="M1303" s="260"/>
      <c r="N1303" s="260"/>
      <c r="O1303" s="260"/>
      <c r="P1303" s="211"/>
      <c r="Q1303" s="261"/>
      <c r="R1303" s="208" t="str">
        <f ca="1">IF(ISERROR($V1303),"",OFFSET('Smelter Look-up'!$C$4,$V1303-4,0)&amp;"")</f>
        <v/>
      </c>
      <c r="S1303" s="215" t="str">
        <f t="shared" ca="1" si="183"/>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si="184"/>
        <v>0</v>
      </c>
      <c r="Y1303" s="263"/>
      <c r="Z1303" s="263"/>
      <c r="AB1303" s="265" t="str">
        <f t="shared" si="185"/>
        <v/>
      </c>
    </row>
    <row r="1304" spans="1:28" s="264" customFormat="1" ht="20.399999999999999">
      <c r="A1304" s="207"/>
      <c r="B1304" s="208"/>
      <c r="C1304" s="212"/>
      <c r="D1304" s="270"/>
      <c r="E1304" s="208"/>
      <c r="F1304" s="208"/>
      <c r="G1304" s="208"/>
      <c r="H1304" s="209"/>
      <c r="I1304" s="210"/>
      <c r="J1304" s="210"/>
      <c r="K1304" s="260"/>
      <c r="L1304" s="260"/>
      <c r="M1304" s="260"/>
      <c r="N1304" s="260"/>
      <c r="O1304" s="260"/>
      <c r="P1304" s="211"/>
      <c r="Q1304" s="261"/>
      <c r="R1304" s="208" t="str">
        <f ca="1">IF(ISERROR($V1304),"",OFFSET('Smelter Look-up'!$C$4,$V1304-4,0)&amp;"")</f>
        <v/>
      </c>
      <c r="S1304" s="215" t="str">
        <f t="shared" ca="1" si="183"/>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si="184"/>
        <v>0</v>
      </c>
      <c r="Y1304" s="263"/>
      <c r="Z1304" s="263"/>
      <c r="AB1304" s="265" t="str">
        <f t="shared" si="185"/>
        <v/>
      </c>
    </row>
    <row r="1305" spans="1:28" s="264" customFormat="1" ht="20.399999999999999">
      <c r="A1305" s="207"/>
      <c r="B1305" s="208"/>
      <c r="C1305" s="212"/>
      <c r="D1305" s="270"/>
      <c r="E1305" s="208"/>
      <c r="F1305" s="208"/>
      <c r="G1305" s="208"/>
      <c r="H1305" s="209"/>
      <c r="I1305" s="210"/>
      <c r="J1305" s="210"/>
      <c r="K1305" s="260"/>
      <c r="L1305" s="260"/>
      <c r="M1305" s="260"/>
      <c r="N1305" s="260"/>
      <c r="O1305" s="260"/>
      <c r="P1305" s="211"/>
      <c r="Q1305" s="261"/>
      <c r="R1305" s="208" t="str">
        <f ca="1">IF(ISERROR($V1305),"",OFFSET('Smelter Look-up'!$C$4,$V1305-4,0)&amp;"")</f>
        <v/>
      </c>
      <c r="S1305" s="215" t="str">
        <f t="shared" ca="1" si="183"/>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si="184"/>
        <v>0</v>
      </c>
      <c r="Y1305" s="263"/>
      <c r="Z1305" s="263"/>
      <c r="AB1305" s="265" t="str">
        <f t="shared" si="185"/>
        <v/>
      </c>
    </row>
    <row r="1306" spans="1:28" s="264" customFormat="1" ht="20.399999999999999">
      <c r="A1306" s="207"/>
      <c r="B1306" s="208"/>
      <c r="C1306" s="212"/>
      <c r="D1306" s="270"/>
      <c r="E1306" s="208"/>
      <c r="F1306" s="208"/>
      <c r="G1306" s="208"/>
      <c r="H1306" s="209"/>
      <c r="I1306" s="210"/>
      <c r="J1306" s="210"/>
      <c r="K1306" s="260"/>
      <c r="L1306" s="260"/>
      <c r="M1306" s="260"/>
      <c r="N1306" s="260"/>
      <c r="O1306" s="260"/>
      <c r="P1306" s="211"/>
      <c r="Q1306" s="261"/>
      <c r="R1306" s="208" t="str">
        <f ca="1">IF(ISERROR($V1306),"",OFFSET('Smelter Look-up'!$C$4,$V1306-4,0)&amp;"")</f>
        <v/>
      </c>
      <c r="S1306" s="215" t="str">
        <f t="shared" ca="1" si="183"/>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si="184"/>
        <v>0</v>
      </c>
      <c r="Y1306" s="263"/>
      <c r="Z1306" s="263"/>
      <c r="AB1306" s="265" t="str">
        <f t="shared" si="185"/>
        <v/>
      </c>
    </row>
    <row r="1307" spans="1:28" s="264" customFormat="1" ht="20.399999999999999">
      <c r="A1307" s="207"/>
      <c r="B1307" s="208"/>
      <c r="C1307" s="212"/>
      <c r="D1307" s="270"/>
      <c r="E1307" s="208"/>
      <c r="F1307" s="208"/>
      <c r="G1307" s="208"/>
      <c r="H1307" s="209"/>
      <c r="I1307" s="210"/>
      <c r="J1307" s="210"/>
      <c r="K1307" s="260"/>
      <c r="L1307" s="260"/>
      <c r="M1307" s="260"/>
      <c r="N1307" s="260"/>
      <c r="O1307" s="260"/>
      <c r="P1307" s="211"/>
      <c r="Q1307" s="261"/>
      <c r="R1307" s="208" t="str">
        <f ca="1">IF(ISERROR($V1307),"",OFFSET('Smelter Look-up'!$C$4,$V1307-4,0)&amp;"")</f>
        <v/>
      </c>
      <c r="S1307" s="215" t="str">
        <f t="shared" ca="1" si="183"/>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si="184"/>
        <v>0</v>
      </c>
      <c r="Y1307" s="263"/>
      <c r="Z1307" s="263"/>
      <c r="AB1307" s="265" t="str">
        <f t="shared" si="185"/>
        <v/>
      </c>
    </row>
    <row r="1308" spans="1:28" s="264" customFormat="1" ht="20.399999999999999">
      <c r="A1308" s="207"/>
      <c r="B1308" s="208"/>
      <c r="C1308" s="212"/>
      <c r="D1308" s="270"/>
      <c r="E1308" s="208"/>
      <c r="F1308" s="208"/>
      <c r="G1308" s="208"/>
      <c r="H1308" s="209"/>
      <c r="I1308" s="210"/>
      <c r="J1308" s="210"/>
      <c r="K1308" s="260"/>
      <c r="L1308" s="260"/>
      <c r="M1308" s="260"/>
      <c r="N1308" s="260"/>
      <c r="O1308" s="260"/>
      <c r="P1308" s="211"/>
      <c r="Q1308" s="261"/>
      <c r="R1308" s="208" t="str">
        <f ca="1">IF(ISERROR($V1308),"",OFFSET('Smelter Look-up'!$C$4,$V1308-4,0)&amp;"")</f>
        <v/>
      </c>
      <c r="S1308" s="215" t="str">
        <f t="shared" ref="S1308:S1338" ca="1" si="186">IF(B1308="","",IF(ISERROR(MATCH($E1308,CL,0)),"Unknown",INDIRECT("'C'!$A$"&amp;MATCH($E1308,CL,0)+1)))</f>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ref="X1308:X1338" si="187">IF(AND(C1308="Smelter not listed",OR(LEN(D1308)=0,LEN(E1308)=0)),1,0)</f>
        <v>0</v>
      </c>
      <c r="Y1308" s="263"/>
      <c r="Z1308" s="263"/>
      <c r="AB1308" s="265" t="str">
        <f t="shared" ref="AB1308:AB1338" si="188">B1308&amp;C1308</f>
        <v/>
      </c>
    </row>
    <row r="1309" spans="1:28" s="264" customFormat="1" ht="20.399999999999999">
      <c r="A1309" s="207"/>
      <c r="B1309" s="208"/>
      <c r="C1309" s="212"/>
      <c r="D1309" s="270"/>
      <c r="E1309" s="208"/>
      <c r="F1309" s="208"/>
      <c r="G1309" s="208"/>
      <c r="H1309" s="209"/>
      <c r="I1309" s="210"/>
      <c r="J1309" s="210"/>
      <c r="K1309" s="260"/>
      <c r="L1309" s="260"/>
      <c r="M1309" s="260"/>
      <c r="N1309" s="260"/>
      <c r="O1309" s="260"/>
      <c r="P1309" s="211"/>
      <c r="Q1309" s="261"/>
      <c r="R1309" s="208" t="str">
        <f ca="1">IF(ISERROR($V1309),"",OFFSET('Smelter Look-up'!$C$4,$V1309-4,0)&amp;"")</f>
        <v/>
      </c>
      <c r="S1309" s="215" t="str">
        <f t="shared" ca="1" si="186"/>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si="187"/>
        <v>0</v>
      </c>
      <c r="Y1309" s="263"/>
      <c r="Z1309" s="263"/>
      <c r="AB1309" s="265" t="str">
        <f t="shared" si="188"/>
        <v/>
      </c>
    </row>
    <row r="1310" spans="1:28" s="264" customFormat="1" ht="20.399999999999999">
      <c r="A1310" s="207"/>
      <c r="B1310" s="208"/>
      <c r="C1310" s="212"/>
      <c r="D1310" s="270"/>
      <c r="E1310" s="208"/>
      <c r="F1310" s="208"/>
      <c r="G1310" s="208"/>
      <c r="H1310" s="209"/>
      <c r="I1310" s="210"/>
      <c r="J1310" s="210"/>
      <c r="K1310" s="260"/>
      <c r="L1310" s="260"/>
      <c r="M1310" s="260"/>
      <c r="N1310" s="260"/>
      <c r="O1310" s="260"/>
      <c r="P1310" s="211"/>
      <c r="Q1310" s="261"/>
      <c r="R1310" s="208" t="str">
        <f ca="1">IF(ISERROR($V1310),"",OFFSET('Smelter Look-up'!$C$4,$V1310-4,0)&amp;"")</f>
        <v/>
      </c>
      <c r="S1310" s="215" t="str">
        <f t="shared" ca="1" si="186"/>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si="187"/>
        <v>0</v>
      </c>
      <c r="Y1310" s="263"/>
      <c r="Z1310" s="263"/>
      <c r="AB1310" s="265" t="str">
        <f t="shared" si="188"/>
        <v/>
      </c>
    </row>
    <row r="1311" spans="1:28" s="264" customFormat="1" ht="20.399999999999999">
      <c r="A1311" s="207"/>
      <c r="B1311" s="208"/>
      <c r="C1311" s="212"/>
      <c r="D1311" s="270"/>
      <c r="E1311" s="208"/>
      <c r="F1311" s="208"/>
      <c r="G1311" s="208"/>
      <c r="H1311" s="209"/>
      <c r="I1311" s="210"/>
      <c r="J1311" s="210"/>
      <c r="K1311" s="260"/>
      <c r="L1311" s="260"/>
      <c r="M1311" s="260"/>
      <c r="N1311" s="260"/>
      <c r="O1311" s="260"/>
      <c r="P1311" s="211"/>
      <c r="Q1311" s="261"/>
      <c r="R1311" s="208" t="str">
        <f ca="1">IF(ISERROR($V1311),"",OFFSET('Smelter Look-up'!$C$4,$V1311-4,0)&amp;"")</f>
        <v/>
      </c>
      <c r="S1311" s="215" t="str">
        <f t="shared" ca="1" si="186"/>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si="187"/>
        <v>0</v>
      </c>
      <c r="Y1311" s="263"/>
      <c r="Z1311" s="263"/>
      <c r="AB1311" s="265" t="str">
        <f t="shared" si="188"/>
        <v/>
      </c>
    </row>
    <row r="1312" spans="1:28" s="264" customFormat="1" ht="20.399999999999999">
      <c r="A1312" s="207"/>
      <c r="B1312" s="208"/>
      <c r="C1312" s="212"/>
      <c r="D1312" s="270"/>
      <c r="E1312" s="208"/>
      <c r="F1312" s="208"/>
      <c r="G1312" s="208"/>
      <c r="H1312" s="209"/>
      <c r="I1312" s="210"/>
      <c r="J1312" s="210"/>
      <c r="K1312" s="260"/>
      <c r="L1312" s="260"/>
      <c r="M1312" s="260"/>
      <c r="N1312" s="260"/>
      <c r="O1312" s="260"/>
      <c r="P1312" s="211"/>
      <c r="Q1312" s="261"/>
      <c r="R1312" s="208" t="str">
        <f ca="1">IF(ISERROR($V1312),"",OFFSET('Smelter Look-up'!$C$4,$V1312-4,0)&amp;"")</f>
        <v/>
      </c>
      <c r="S1312" s="215" t="str">
        <f t="shared" ca="1" si="186"/>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si="187"/>
        <v>0</v>
      </c>
      <c r="Y1312" s="263"/>
      <c r="Z1312" s="263"/>
      <c r="AB1312" s="265" t="str">
        <f t="shared" si="188"/>
        <v/>
      </c>
    </row>
    <row r="1313" spans="1:28" s="264" customFormat="1" ht="20.399999999999999">
      <c r="A1313" s="207"/>
      <c r="B1313" s="208"/>
      <c r="C1313" s="212"/>
      <c r="D1313" s="270"/>
      <c r="E1313" s="208"/>
      <c r="F1313" s="208"/>
      <c r="G1313" s="208"/>
      <c r="H1313" s="209"/>
      <c r="I1313" s="210"/>
      <c r="J1313" s="210"/>
      <c r="K1313" s="260"/>
      <c r="L1313" s="260"/>
      <c r="M1313" s="260"/>
      <c r="N1313" s="260"/>
      <c r="O1313" s="260"/>
      <c r="P1313" s="211"/>
      <c r="Q1313" s="261"/>
      <c r="R1313" s="208" t="str">
        <f ca="1">IF(ISERROR($V1313),"",OFFSET('Smelter Look-up'!$C$4,$V1313-4,0)&amp;"")</f>
        <v/>
      </c>
      <c r="S1313" s="215" t="str">
        <f t="shared" ca="1" si="186"/>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si="187"/>
        <v>0</v>
      </c>
      <c r="Y1313" s="263"/>
      <c r="Z1313" s="263"/>
      <c r="AB1313" s="265" t="str">
        <f t="shared" si="188"/>
        <v/>
      </c>
    </row>
    <row r="1314" spans="1:28" s="264" customFormat="1" ht="20.399999999999999">
      <c r="A1314" s="207"/>
      <c r="B1314" s="208"/>
      <c r="C1314" s="212"/>
      <c r="D1314" s="270"/>
      <c r="E1314" s="208"/>
      <c r="F1314" s="208"/>
      <c r="G1314" s="208"/>
      <c r="H1314" s="209"/>
      <c r="I1314" s="210"/>
      <c r="J1314" s="210"/>
      <c r="K1314" s="260"/>
      <c r="L1314" s="260"/>
      <c r="M1314" s="260"/>
      <c r="N1314" s="260"/>
      <c r="O1314" s="260"/>
      <c r="P1314" s="211"/>
      <c r="Q1314" s="261"/>
      <c r="R1314" s="208" t="str">
        <f ca="1">IF(ISERROR($V1314),"",OFFSET('Smelter Look-up'!$C$4,$V1314-4,0)&amp;"")</f>
        <v/>
      </c>
      <c r="S1314" s="215" t="str">
        <f t="shared" ca="1" si="186"/>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si="187"/>
        <v>0</v>
      </c>
      <c r="Y1314" s="263"/>
      <c r="Z1314" s="263"/>
      <c r="AB1314" s="265" t="str">
        <f t="shared" si="188"/>
        <v/>
      </c>
    </row>
    <row r="1315" spans="1:28" s="264" customFormat="1" ht="20.399999999999999">
      <c r="A1315" s="207"/>
      <c r="B1315" s="208"/>
      <c r="C1315" s="212"/>
      <c r="D1315" s="270"/>
      <c r="E1315" s="208"/>
      <c r="F1315" s="208"/>
      <c r="G1315" s="208"/>
      <c r="H1315" s="209"/>
      <c r="I1315" s="210"/>
      <c r="J1315" s="210"/>
      <c r="K1315" s="260"/>
      <c r="L1315" s="260"/>
      <c r="M1315" s="260"/>
      <c r="N1315" s="260"/>
      <c r="O1315" s="260"/>
      <c r="P1315" s="211"/>
      <c r="Q1315" s="261"/>
      <c r="R1315" s="208" t="str">
        <f ca="1">IF(ISERROR($V1315),"",OFFSET('Smelter Look-up'!$C$4,$V1315-4,0)&amp;"")</f>
        <v/>
      </c>
      <c r="S1315" s="215" t="str">
        <f t="shared" ca="1" si="186"/>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si="187"/>
        <v>0</v>
      </c>
      <c r="Y1315" s="263"/>
      <c r="Z1315" s="263"/>
      <c r="AB1315" s="265" t="str">
        <f t="shared" si="188"/>
        <v/>
      </c>
    </row>
    <row r="1316" spans="1:28" s="264" customFormat="1" ht="20.399999999999999">
      <c r="A1316" s="207"/>
      <c r="B1316" s="208"/>
      <c r="C1316" s="212"/>
      <c r="D1316" s="270"/>
      <c r="E1316" s="208"/>
      <c r="F1316" s="208"/>
      <c r="G1316" s="208"/>
      <c r="H1316" s="209"/>
      <c r="I1316" s="210"/>
      <c r="J1316" s="210"/>
      <c r="K1316" s="260"/>
      <c r="L1316" s="260"/>
      <c r="M1316" s="260"/>
      <c r="N1316" s="260"/>
      <c r="O1316" s="260"/>
      <c r="P1316" s="211"/>
      <c r="Q1316" s="261"/>
      <c r="R1316" s="208" t="str">
        <f ca="1">IF(ISERROR($V1316),"",OFFSET('Smelter Look-up'!$C$4,$V1316-4,0)&amp;"")</f>
        <v/>
      </c>
      <c r="S1316" s="215" t="str">
        <f t="shared" ca="1" si="186"/>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si="187"/>
        <v>0</v>
      </c>
      <c r="Y1316" s="263"/>
      <c r="Z1316" s="263"/>
      <c r="AB1316" s="265" t="str">
        <f t="shared" si="188"/>
        <v/>
      </c>
    </row>
    <row r="1317" spans="1:28" s="264" customFormat="1" ht="20.399999999999999">
      <c r="A1317" s="207"/>
      <c r="B1317" s="208"/>
      <c r="C1317" s="212"/>
      <c r="D1317" s="270"/>
      <c r="E1317" s="208"/>
      <c r="F1317" s="208"/>
      <c r="G1317" s="208"/>
      <c r="H1317" s="209"/>
      <c r="I1317" s="210"/>
      <c r="J1317" s="210"/>
      <c r="K1317" s="260"/>
      <c r="L1317" s="260"/>
      <c r="M1317" s="260"/>
      <c r="N1317" s="260"/>
      <c r="O1317" s="260"/>
      <c r="P1317" s="211"/>
      <c r="Q1317" s="261"/>
      <c r="R1317" s="208" t="str">
        <f ca="1">IF(ISERROR($V1317),"",OFFSET('Smelter Look-up'!$C$4,$V1317-4,0)&amp;"")</f>
        <v/>
      </c>
      <c r="S1317" s="215" t="str">
        <f t="shared" ca="1" si="186"/>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si="187"/>
        <v>0</v>
      </c>
      <c r="Y1317" s="263"/>
      <c r="Z1317" s="263"/>
      <c r="AB1317" s="265" t="str">
        <f t="shared" si="188"/>
        <v/>
      </c>
    </row>
    <row r="1318" spans="1:28" s="264" customFormat="1" ht="20.399999999999999">
      <c r="A1318" s="207"/>
      <c r="B1318" s="208"/>
      <c r="C1318" s="212"/>
      <c r="D1318" s="270"/>
      <c r="E1318" s="208"/>
      <c r="F1318" s="208"/>
      <c r="G1318" s="208"/>
      <c r="H1318" s="209"/>
      <c r="I1318" s="210"/>
      <c r="J1318" s="210"/>
      <c r="K1318" s="260"/>
      <c r="L1318" s="260"/>
      <c r="M1318" s="260"/>
      <c r="N1318" s="260"/>
      <c r="O1318" s="260"/>
      <c r="P1318" s="211"/>
      <c r="Q1318" s="261"/>
      <c r="R1318" s="208" t="str">
        <f ca="1">IF(ISERROR($V1318),"",OFFSET('Smelter Look-up'!$C$4,$V1318-4,0)&amp;"")</f>
        <v/>
      </c>
      <c r="S1318" s="215" t="str">
        <f t="shared" ca="1" si="186"/>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si="187"/>
        <v>0</v>
      </c>
      <c r="Y1318" s="263"/>
      <c r="Z1318" s="263"/>
      <c r="AB1318" s="265" t="str">
        <f t="shared" si="188"/>
        <v/>
      </c>
    </row>
    <row r="1319" spans="1:28" s="264" customFormat="1" ht="20.399999999999999">
      <c r="A1319" s="207"/>
      <c r="B1319" s="208"/>
      <c r="C1319" s="212"/>
      <c r="D1319" s="270"/>
      <c r="E1319" s="208"/>
      <c r="F1319" s="208"/>
      <c r="G1319" s="208"/>
      <c r="H1319" s="209"/>
      <c r="I1319" s="210"/>
      <c r="J1319" s="210"/>
      <c r="K1319" s="260"/>
      <c r="L1319" s="260"/>
      <c r="M1319" s="260"/>
      <c r="N1319" s="260"/>
      <c r="O1319" s="260"/>
      <c r="P1319" s="211"/>
      <c r="Q1319" s="261"/>
      <c r="R1319" s="208" t="str">
        <f ca="1">IF(ISERROR($V1319),"",OFFSET('Smelter Look-up'!$C$4,$V1319-4,0)&amp;"")</f>
        <v/>
      </c>
      <c r="S1319" s="215" t="str">
        <f t="shared" ca="1" si="186"/>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si="187"/>
        <v>0</v>
      </c>
      <c r="Y1319" s="263"/>
      <c r="Z1319" s="263"/>
      <c r="AB1319" s="265" t="str">
        <f t="shared" si="188"/>
        <v/>
      </c>
    </row>
    <row r="1320" spans="1:28" s="264" customFormat="1" ht="20.399999999999999">
      <c r="A1320" s="207"/>
      <c r="B1320" s="208"/>
      <c r="C1320" s="212"/>
      <c r="D1320" s="270"/>
      <c r="E1320" s="208"/>
      <c r="F1320" s="208"/>
      <c r="G1320" s="208"/>
      <c r="H1320" s="209"/>
      <c r="I1320" s="210"/>
      <c r="J1320" s="210"/>
      <c r="K1320" s="260"/>
      <c r="L1320" s="260"/>
      <c r="M1320" s="260"/>
      <c r="N1320" s="260"/>
      <c r="O1320" s="260"/>
      <c r="P1320" s="211"/>
      <c r="Q1320" s="261"/>
      <c r="R1320" s="208" t="str">
        <f ca="1">IF(ISERROR($V1320),"",OFFSET('Smelter Look-up'!$C$4,$V1320-4,0)&amp;"")</f>
        <v/>
      </c>
      <c r="S1320" s="215" t="str">
        <f t="shared" ca="1" si="186"/>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si="187"/>
        <v>0</v>
      </c>
      <c r="Y1320" s="263"/>
      <c r="Z1320" s="263"/>
      <c r="AB1320" s="265" t="str">
        <f t="shared" si="188"/>
        <v/>
      </c>
    </row>
    <row r="1321" spans="1:28" s="264" customFormat="1" ht="20.399999999999999">
      <c r="A1321" s="207"/>
      <c r="B1321" s="208"/>
      <c r="C1321" s="212"/>
      <c r="D1321" s="270"/>
      <c r="E1321" s="208"/>
      <c r="F1321" s="208"/>
      <c r="G1321" s="208"/>
      <c r="H1321" s="209"/>
      <c r="I1321" s="210"/>
      <c r="J1321" s="210"/>
      <c r="K1321" s="260"/>
      <c r="L1321" s="260"/>
      <c r="M1321" s="260"/>
      <c r="N1321" s="260"/>
      <c r="O1321" s="260"/>
      <c r="P1321" s="211"/>
      <c r="Q1321" s="261"/>
      <c r="R1321" s="208" t="str">
        <f ca="1">IF(ISERROR($V1321),"",OFFSET('Smelter Look-up'!$C$4,$V1321-4,0)&amp;"")</f>
        <v/>
      </c>
      <c r="S1321" s="215" t="str">
        <f t="shared" ca="1" si="186"/>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si="187"/>
        <v>0</v>
      </c>
      <c r="Y1321" s="263"/>
      <c r="Z1321" s="263"/>
      <c r="AB1321" s="265" t="str">
        <f t="shared" si="188"/>
        <v/>
      </c>
    </row>
    <row r="1322" spans="1:28" s="264" customFormat="1" ht="20.399999999999999">
      <c r="A1322" s="207"/>
      <c r="B1322" s="208"/>
      <c r="C1322" s="212"/>
      <c r="D1322" s="270"/>
      <c r="E1322" s="208"/>
      <c r="F1322" s="208"/>
      <c r="G1322" s="208"/>
      <c r="H1322" s="209"/>
      <c r="I1322" s="210"/>
      <c r="J1322" s="210"/>
      <c r="K1322" s="260"/>
      <c r="L1322" s="260"/>
      <c r="M1322" s="260"/>
      <c r="N1322" s="260"/>
      <c r="O1322" s="260"/>
      <c r="P1322" s="211"/>
      <c r="Q1322" s="261"/>
      <c r="R1322" s="208" t="str">
        <f ca="1">IF(ISERROR($V1322),"",OFFSET('Smelter Look-up'!$C$4,$V1322-4,0)&amp;"")</f>
        <v/>
      </c>
      <c r="S1322" s="215" t="str">
        <f t="shared" ca="1" si="186"/>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si="187"/>
        <v>0</v>
      </c>
      <c r="Y1322" s="263"/>
      <c r="Z1322" s="263"/>
      <c r="AB1322" s="265" t="str">
        <f t="shared" si="188"/>
        <v/>
      </c>
    </row>
    <row r="1323" spans="1:28" s="264" customFormat="1" ht="20.399999999999999">
      <c r="A1323" s="207"/>
      <c r="B1323" s="208"/>
      <c r="C1323" s="212"/>
      <c r="D1323" s="270"/>
      <c r="E1323" s="208"/>
      <c r="F1323" s="208"/>
      <c r="G1323" s="208"/>
      <c r="H1323" s="209"/>
      <c r="I1323" s="210"/>
      <c r="J1323" s="210"/>
      <c r="K1323" s="260"/>
      <c r="L1323" s="260"/>
      <c r="M1323" s="260"/>
      <c r="N1323" s="260"/>
      <c r="O1323" s="260"/>
      <c r="P1323" s="211"/>
      <c r="Q1323" s="261"/>
      <c r="R1323" s="208" t="str">
        <f ca="1">IF(ISERROR($V1323),"",OFFSET('Smelter Look-up'!$C$4,$V1323-4,0)&amp;"")</f>
        <v/>
      </c>
      <c r="S1323" s="215" t="str">
        <f t="shared" ca="1" si="186"/>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si="187"/>
        <v>0</v>
      </c>
      <c r="Y1323" s="263"/>
      <c r="Z1323" s="263"/>
      <c r="AB1323" s="265" t="str">
        <f t="shared" si="188"/>
        <v/>
      </c>
    </row>
    <row r="1324" spans="1:28" s="264" customFormat="1" ht="20.399999999999999">
      <c r="A1324" s="207"/>
      <c r="B1324" s="208"/>
      <c r="C1324" s="212"/>
      <c r="D1324" s="270"/>
      <c r="E1324" s="208"/>
      <c r="F1324" s="208"/>
      <c r="G1324" s="208"/>
      <c r="H1324" s="209"/>
      <c r="I1324" s="210"/>
      <c r="J1324" s="210"/>
      <c r="K1324" s="260"/>
      <c r="L1324" s="260"/>
      <c r="M1324" s="260"/>
      <c r="N1324" s="260"/>
      <c r="O1324" s="260"/>
      <c r="P1324" s="211"/>
      <c r="Q1324" s="261"/>
      <c r="R1324" s="208" t="str">
        <f ca="1">IF(ISERROR($V1324),"",OFFSET('Smelter Look-up'!$C$4,$V1324-4,0)&amp;"")</f>
        <v/>
      </c>
      <c r="S1324" s="215" t="str">
        <f t="shared" ca="1" si="186"/>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si="187"/>
        <v>0</v>
      </c>
      <c r="Y1324" s="263"/>
      <c r="Z1324" s="263"/>
      <c r="AB1324" s="265" t="str">
        <f t="shared" si="188"/>
        <v/>
      </c>
    </row>
    <row r="1325" spans="1:28" s="264" customFormat="1" ht="20.399999999999999">
      <c r="A1325" s="207"/>
      <c r="B1325" s="208"/>
      <c r="C1325" s="212"/>
      <c r="D1325" s="270"/>
      <c r="E1325" s="208"/>
      <c r="F1325" s="208"/>
      <c r="G1325" s="208"/>
      <c r="H1325" s="209"/>
      <c r="I1325" s="210"/>
      <c r="J1325" s="210"/>
      <c r="K1325" s="260"/>
      <c r="L1325" s="260"/>
      <c r="M1325" s="260"/>
      <c r="N1325" s="260"/>
      <c r="O1325" s="260"/>
      <c r="P1325" s="211"/>
      <c r="Q1325" s="261"/>
      <c r="R1325" s="208" t="str">
        <f ca="1">IF(ISERROR($V1325),"",OFFSET('Smelter Look-up'!$C$4,$V1325-4,0)&amp;"")</f>
        <v/>
      </c>
      <c r="S1325" s="215" t="str">
        <f t="shared" ca="1" si="186"/>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si="187"/>
        <v>0</v>
      </c>
      <c r="Y1325" s="263"/>
      <c r="Z1325" s="263"/>
      <c r="AB1325" s="265" t="str">
        <f t="shared" si="188"/>
        <v/>
      </c>
    </row>
    <row r="1326" spans="1:28" s="264" customFormat="1" ht="20.399999999999999">
      <c r="A1326" s="207"/>
      <c r="B1326" s="208"/>
      <c r="C1326" s="212"/>
      <c r="D1326" s="270"/>
      <c r="E1326" s="208"/>
      <c r="F1326" s="208"/>
      <c r="G1326" s="208"/>
      <c r="H1326" s="209"/>
      <c r="I1326" s="210"/>
      <c r="J1326" s="210"/>
      <c r="K1326" s="260"/>
      <c r="L1326" s="260"/>
      <c r="M1326" s="260"/>
      <c r="N1326" s="260"/>
      <c r="O1326" s="260"/>
      <c r="P1326" s="211"/>
      <c r="Q1326" s="261"/>
      <c r="R1326" s="208" t="str">
        <f ca="1">IF(ISERROR($V1326),"",OFFSET('Smelter Look-up'!$C$4,$V1326-4,0)&amp;"")</f>
        <v/>
      </c>
      <c r="S1326" s="215" t="str">
        <f t="shared" ca="1" si="186"/>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si="187"/>
        <v>0</v>
      </c>
      <c r="Y1326" s="263"/>
      <c r="Z1326" s="263"/>
      <c r="AB1326" s="265" t="str">
        <f t="shared" si="188"/>
        <v/>
      </c>
    </row>
    <row r="1327" spans="1:28" s="264" customFormat="1" ht="20.399999999999999">
      <c r="A1327" s="207"/>
      <c r="B1327" s="208"/>
      <c r="C1327" s="212"/>
      <c r="D1327" s="270"/>
      <c r="E1327" s="208"/>
      <c r="F1327" s="208"/>
      <c r="G1327" s="208"/>
      <c r="H1327" s="209"/>
      <c r="I1327" s="210"/>
      <c r="J1327" s="210"/>
      <c r="K1327" s="260"/>
      <c r="L1327" s="260"/>
      <c r="M1327" s="260"/>
      <c r="N1327" s="260"/>
      <c r="O1327" s="260"/>
      <c r="P1327" s="211"/>
      <c r="Q1327" s="261"/>
      <c r="R1327" s="208" t="str">
        <f ca="1">IF(ISERROR($V1327),"",OFFSET('Smelter Look-up'!$C$4,$V1327-4,0)&amp;"")</f>
        <v/>
      </c>
      <c r="S1327" s="215" t="str">
        <f t="shared" ca="1" si="186"/>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si="187"/>
        <v>0</v>
      </c>
      <c r="Y1327" s="263"/>
      <c r="Z1327" s="263"/>
      <c r="AB1327" s="265" t="str">
        <f t="shared" si="188"/>
        <v/>
      </c>
    </row>
    <row r="1328" spans="1:28" s="264" customFormat="1" ht="20.399999999999999">
      <c r="A1328" s="207"/>
      <c r="B1328" s="208"/>
      <c r="C1328" s="212"/>
      <c r="D1328" s="270"/>
      <c r="E1328" s="208"/>
      <c r="F1328" s="208"/>
      <c r="G1328" s="208"/>
      <c r="H1328" s="209"/>
      <c r="I1328" s="210"/>
      <c r="J1328" s="210"/>
      <c r="K1328" s="260"/>
      <c r="L1328" s="260"/>
      <c r="M1328" s="260"/>
      <c r="N1328" s="260"/>
      <c r="O1328" s="260"/>
      <c r="P1328" s="211"/>
      <c r="Q1328" s="261"/>
      <c r="R1328" s="208" t="str">
        <f ca="1">IF(ISERROR($V1328),"",OFFSET('Smelter Look-up'!$C$4,$V1328-4,0)&amp;"")</f>
        <v/>
      </c>
      <c r="S1328" s="215" t="str">
        <f t="shared" ca="1" si="186"/>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si="187"/>
        <v>0</v>
      </c>
      <c r="Y1328" s="263"/>
      <c r="Z1328" s="263"/>
      <c r="AB1328" s="265" t="str">
        <f t="shared" si="188"/>
        <v/>
      </c>
    </row>
    <row r="1329" spans="1:28" s="264" customFormat="1" ht="20.399999999999999">
      <c r="A1329" s="207"/>
      <c r="B1329" s="208"/>
      <c r="C1329" s="212"/>
      <c r="D1329" s="270"/>
      <c r="E1329" s="208"/>
      <c r="F1329" s="208"/>
      <c r="G1329" s="208"/>
      <c r="H1329" s="209"/>
      <c r="I1329" s="210"/>
      <c r="J1329" s="210"/>
      <c r="K1329" s="260"/>
      <c r="L1329" s="260"/>
      <c r="M1329" s="260"/>
      <c r="N1329" s="260"/>
      <c r="O1329" s="260"/>
      <c r="P1329" s="211"/>
      <c r="Q1329" s="261"/>
      <c r="R1329" s="208" t="str">
        <f ca="1">IF(ISERROR($V1329),"",OFFSET('Smelter Look-up'!$C$4,$V1329-4,0)&amp;"")</f>
        <v/>
      </c>
      <c r="S1329" s="215" t="str">
        <f t="shared" ca="1" si="186"/>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si="187"/>
        <v>0</v>
      </c>
      <c r="Y1329" s="263"/>
      <c r="Z1329" s="263"/>
      <c r="AB1329" s="265" t="str">
        <f t="shared" si="188"/>
        <v/>
      </c>
    </row>
    <row r="1330" spans="1:28" s="264" customFormat="1" ht="20.399999999999999">
      <c r="A1330" s="207"/>
      <c r="B1330" s="208"/>
      <c r="C1330" s="212"/>
      <c r="D1330" s="270"/>
      <c r="E1330" s="208"/>
      <c r="F1330" s="208"/>
      <c r="G1330" s="208"/>
      <c r="H1330" s="209"/>
      <c r="I1330" s="210"/>
      <c r="J1330" s="210"/>
      <c r="K1330" s="260"/>
      <c r="L1330" s="260"/>
      <c r="M1330" s="260"/>
      <c r="N1330" s="260"/>
      <c r="O1330" s="260"/>
      <c r="P1330" s="211"/>
      <c r="Q1330" s="261"/>
      <c r="R1330" s="208" t="str">
        <f ca="1">IF(ISERROR($V1330),"",OFFSET('Smelter Look-up'!$C$4,$V1330-4,0)&amp;"")</f>
        <v/>
      </c>
      <c r="S1330" s="215" t="str">
        <f t="shared" ca="1" si="186"/>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si="187"/>
        <v>0</v>
      </c>
      <c r="Y1330" s="263"/>
      <c r="Z1330" s="263"/>
      <c r="AB1330" s="265" t="str">
        <f t="shared" si="188"/>
        <v/>
      </c>
    </row>
    <row r="1331" spans="1:28" s="264" customFormat="1" ht="20.399999999999999">
      <c r="A1331" s="207"/>
      <c r="B1331" s="208"/>
      <c r="C1331" s="212"/>
      <c r="D1331" s="270"/>
      <c r="E1331" s="208"/>
      <c r="F1331" s="208"/>
      <c r="G1331" s="208"/>
      <c r="H1331" s="209"/>
      <c r="I1331" s="210"/>
      <c r="J1331" s="210"/>
      <c r="K1331" s="260"/>
      <c r="L1331" s="260"/>
      <c r="M1331" s="260"/>
      <c r="N1331" s="260"/>
      <c r="O1331" s="260"/>
      <c r="P1331" s="211"/>
      <c r="Q1331" s="261"/>
      <c r="R1331" s="208" t="str">
        <f ca="1">IF(ISERROR($V1331),"",OFFSET('Smelter Look-up'!$C$4,$V1331-4,0)&amp;"")</f>
        <v/>
      </c>
      <c r="S1331" s="215" t="str">
        <f t="shared" ca="1" si="186"/>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si="187"/>
        <v>0</v>
      </c>
      <c r="Y1331" s="263"/>
      <c r="Z1331" s="263"/>
      <c r="AB1331" s="265" t="str">
        <f t="shared" si="188"/>
        <v/>
      </c>
    </row>
    <row r="1332" spans="1:28" s="264" customFormat="1" ht="20.399999999999999">
      <c r="A1332" s="207"/>
      <c r="B1332" s="208"/>
      <c r="C1332" s="212"/>
      <c r="D1332" s="270"/>
      <c r="E1332" s="208"/>
      <c r="F1332" s="208"/>
      <c r="G1332" s="208"/>
      <c r="H1332" s="209"/>
      <c r="I1332" s="210"/>
      <c r="J1332" s="210"/>
      <c r="K1332" s="260"/>
      <c r="L1332" s="260"/>
      <c r="M1332" s="260"/>
      <c r="N1332" s="260"/>
      <c r="O1332" s="260"/>
      <c r="P1332" s="211"/>
      <c r="Q1332" s="261"/>
      <c r="R1332" s="208" t="str">
        <f ca="1">IF(ISERROR($V1332),"",OFFSET('Smelter Look-up'!$C$4,$V1332-4,0)&amp;"")</f>
        <v/>
      </c>
      <c r="S1332" s="215" t="str">
        <f t="shared" ca="1" si="186"/>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si="187"/>
        <v>0</v>
      </c>
      <c r="Y1332" s="263"/>
      <c r="Z1332" s="263"/>
      <c r="AB1332" s="265" t="str">
        <f t="shared" si="188"/>
        <v/>
      </c>
    </row>
    <row r="1333" spans="1:28" s="264" customFormat="1" ht="20.399999999999999">
      <c r="A1333" s="207"/>
      <c r="B1333" s="208"/>
      <c r="C1333" s="212"/>
      <c r="D1333" s="270"/>
      <c r="E1333" s="208"/>
      <c r="F1333" s="208"/>
      <c r="G1333" s="208"/>
      <c r="H1333" s="209"/>
      <c r="I1333" s="210"/>
      <c r="J1333" s="210"/>
      <c r="K1333" s="260"/>
      <c r="L1333" s="260"/>
      <c r="M1333" s="260"/>
      <c r="N1333" s="260"/>
      <c r="O1333" s="260"/>
      <c r="P1333" s="211"/>
      <c r="Q1333" s="261"/>
      <c r="R1333" s="208" t="str">
        <f ca="1">IF(ISERROR($V1333),"",OFFSET('Smelter Look-up'!$C$4,$V1333-4,0)&amp;"")</f>
        <v/>
      </c>
      <c r="S1333" s="215" t="str">
        <f t="shared" ca="1" si="186"/>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si="187"/>
        <v>0</v>
      </c>
      <c r="Y1333" s="263"/>
      <c r="Z1333" s="263"/>
      <c r="AB1333" s="265" t="str">
        <f t="shared" si="188"/>
        <v/>
      </c>
    </row>
    <row r="1334" spans="1:28" s="264" customFormat="1" ht="20.399999999999999">
      <c r="A1334" s="207"/>
      <c r="B1334" s="208"/>
      <c r="C1334" s="212"/>
      <c r="D1334" s="270"/>
      <c r="E1334" s="208"/>
      <c r="F1334" s="208"/>
      <c r="G1334" s="208"/>
      <c r="H1334" s="209"/>
      <c r="I1334" s="210"/>
      <c r="J1334" s="210"/>
      <c r="K1334" s="260"/>
      <c r="L1334" s="260"/>
      <c r="M1334" s="260"/>
      <c r="N1334" s="260"/>
      <c r="O1334" s="260"/>
      <c r="P1334" s="211"/>
      <c r="Q1334" s="261"/>
      <c r="R1334" s="208" t="str">
        <f ca="1">IF(ISERROR($V1334),"",OFFSET('Smelter Look-up'!$C$4,$V1334-4,0)&amp;"")</f>
        <v/>
      </c>
      <c r="S1334" s="215" t="str">
        <f t="shared" ca="1" si="186"/>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si="187"/>
        <v>0</v>
      </c>
      <c r="Y1334" s="263"/>
      <c r="Z1334" s="263"/>
      <c r="AB1334" s="265" t="str">
        <f t="shared" si="188"/>
        <v/>
      </c>
    </row>
    <row r="1335" spans="1:28" s="264" customFormat="1" ht="20.399999999999999">
      <c r="A1335" s="207"/>
      <c r="B1335" s="208"/>
      <c r="C1335" s="212"/>
      <c r="D1335" s="270"/>
      <c r="E1335" s="208"/>
      <c r="F1335" s="208"/>
      <c r="G1335" s="208"/>
      <c r="H1335" s="209"/>
      <c r="I1335" s="210"/>
      <c r="J1335" s="210"/>
      <c r="K1335" s="260"/>
      <c r="L1335" s="260"/>
      <c r="M1335" s="260"/>
      <c r="N1335" s="260"/>
      <c r="O1335" s="260"/>
      <c r="P1335" s="211"/>
      <c r="Q1335" s="261"/>
      <c r="R1335" s="208" t="str">
        <f ca="1">IF(ISERROR($V1335),"",OFFSET('Smelter Look-up'!$C$4,$V1335-4,0)&amp;"")</f>
        <v/>
      </c>
      <c r="S1335" s="215" t="str">
        <f t="shared" ca="1" si="186"/>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si="187"/>
        <v>0</v>
      </c>
      <c r="Y1335" s="263"/>
      <c r="Z1335" s="263"/>
      <c r="AB1335" s="265" t="str">
        <f t="shared" si="188"/>
        <v/>
      </c>
    </row>
    <row r="1336" spans="1:28" s="264" customFormat="1" ht="20.399999999999999">
      <c r="A1336" s="207"/>
      <c r="B1336" s="208"/>
      <c r="C1336" s="212"/>
      <c r="D1336" s="270"/>
      <c r="E1336" s="208"/>
      <c r="F1336" s="208"/>
      <c r="G1336" s="208"/>
      <c r="H1336" s="209"/>
      <c r="I1336" s="210"/>
      <c r="J1336" s="210"/>
      <c r="K1336" s="260"/>
      <c r="L1336" s="260"/>
      <c r="M1336" s="260"/>
      <c r="N1336" s="260"/>
      <c r="O1336" s="260"/>
      <c r="P1336" s="211"/>
      <c r="Q1336" s="261"/>
      <c r="R1336" s="208" t="str">
        <f ca="1">IF(ISERROR($V1336),"",OFFSET('Smelter Look-up'!$C$4,$V1336-4,0)&amp;"")</f>
        <v/>
      </c>
      <c r="S1336" s="215" t="str">
        <f t="shared" ca="1" si="186"/>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si="187"/>
        <v>0</v>
      </c>
      <c r="Y1336" s="263"/>
      <c r="Z1336" s="263"/>
      <c r="AB1336" s="265" t="str">
        <f t="shared" si="188"/>
        <v/>
      </c>
    </row>
    <row r="1337" spans="1:28" s="264" customFormat="1" ht="20.399999999999999">
      <c r="A1337" s="207"/>
      <c r="B1337" s="208"/>
      <c r="C1337" s="212"/>
      <c r="D1337" s="270"/>
      <c r="E1337" s="208"/>
      <c r="F1337" s="208"/>
      <c r="G1337" s="208"/>
      <c r="H1337" s="209"/>
      <c r="I1337" s="210"/>
      <c r="J1337" s="210"/>
      <c r="K1337" s="260"/>
      <c r="L1337" s="260"/>
      <c r="M1337" s="260"/>
      <c r="N1337" s="260"/>
      <c r="O1337" s="260"/>
      <c r="P1337" s="211"/>
      <c r="Q1337" s="261"/>
      <c r="R1337" s="208" t="str">
        <f ca="1">IF(ISERROR($V1337),"",OFFSET('Smelter Look-up'!$C$4,$V1337-4,0)&amp;"")</f>
        <v/>
      </c>
      <c r="S1337" s="215" t="str">
        <f t="shared" ca="1" si="186"/>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si="187"/>
        <v>0</v>
      </c>
      <c r="Y1337" s="263"/>
      <c r="Z1337" s="263"/>
      <c r="AB1337" s="265" t="str">
        <f t="shared" si="188"/>
        <v/>
      </c>
    </row>
    <row r="1338" spans="1:28" s="264" customFormat="1" ht="20.399999999999999">
      <c r="A1338" s="207"/>
      <c r="B1338" s="208"/>
      <c r="C1338" s="212"/>
      <c r="D1338" s="270"/>
      <c r="E1338" s="208"/>
      <c r="F1338" s="208"/>
      <c r="G1338" s="208"/>
      <c r="H1338" s="209"/>
      <c r="I1338" s="210"/>
      <c r="J1338" s="210"/>
      <c r="K1338" s="260"/>
      <c r="L1338" s="260"/>
      <c r="M1338" s="260"/>
      <c r="N1338" s="260"/>
      <c r="O1338" s="260"/>
      <c r="P1338" s="211"/>
      <c r="Q1338" s="261"/>
      <c r="R1338" s="208" t="str">
        <f ca="1">IF(ISERROR($V1338),"",OFFSET('Smelter Look-up'!$C$4,$V1338-4,0)&amp;"")</f>
        <v/>
      </c>
      <c r="S1338" s="215" t="str">
        <f t="shared" ca="1" si="186"/>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si="187"/>
        <v>0</v>
      </c>
      <c r="Y1338" s="263"/>
      <c r="Z1338" s="263"/>
      <c r="AB1338" s="265" t="str">
        <f t="shared" si="188"/>
        <v/>
      </c>
    </row>
    <row r="1339" spans="1:28" s="264" customFormat="1" ht="20.399999999999999">
      <c r="A1339" s="207"/>
      <c r="B1339" s="208"/>
      <c r="C1339" s="212"/>
      <c r="D1339" s="270"/>
      <c r="E1339" s="208"/>
      <c r="F1339" s="208"/>
      <c r="G1339" s="208"/>
      <c r="H1339" s="209"/>
      <c r="I1339" s="210"/>
      <c r="J1339" s="210"/>
      <c r="K1339" s="260"/>
      <c r="L1339" s="260"/>
      <c r="M1339" s="260"/>
      <c r="N1339" s="260"/>
      <c r="O1339" s="260"/>
      <c r="P1339" s="211"/>
      <c r="Q1339" s="261"/>
      <c r="R1339" s="208" t="str">
        <f ca="1">IF(ISERROR($V1339),"",OFFSET('Smelter Look-up'!$C$4,$V1339-4,0)&amp;"")</f>
        <v/>
      </c>
      <c r="S1339" s="215" t="str">
        <f t="shared" ref="S1339" ca="1" si="189">IF(B1339="","",IF(ISERROR(MATCH($E1339,CL,0)),"Unknown",INDIRECT("'C'!$A$"&amp;MATCH($E1339,CL,0)+1)))</f>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ref="X1339" si="190">IF(AND(C1339="Smelter not listed",OR(LEN(D1339)=0,LEN(E1339)=0)),1,0)</f>
        <v>0</v>
      </c>
      <c r="Y1339" s="263"/>
      <c r="Z1339" s="263"/>
      <c r="AB1339" s="265" t="str">
        <f t="shared" ref="AB1339" si="191">B1339&amp;C1339</f>
        <v/>
      </c>
    </row>
    <row r="1340" spans="1:28" s="264" customFormat="1" ht="20.399999999999999">
      <c r="A1340" s="207"/>
      <c r="B1340" s="208"/>
      <c r="C1340" s="212"/>
      <c r="D1340" s="270"/>
      <c r="E1340" s="208"/>
      <c r="F1340" s="208"/>
      <c r="G1340" s="208"/>
      <c r="H1340" s="209"/>
      <c r="I1340" s="210"/>
      <c r="J1340" s="210"/>
      <c r="K1340" s="260"/>
      <c r="L1340" s="260"/>
      <c r="M1340" s="260"/>
      <c r="N1340" s="260"/>
      <c r="O1340" s="260"/>
      <c r="P1340" s="211"/>
      <c r="Q1340" s="261"/>
      <c r="R1340" s="208" t="str">
        <f ca="1">IF(ISERROR($V1340),"",OFFSET('Smelter Look-up'!$C$4,$V1340-4,0)&amp;"")</f>
        <v/>
      </c>
      <c r="S1340" s="215" t="str">
        <f t="shared" ref="S1340:S1371" ca="1" si="192">IF(B1340="","",IF(ISERROR(MATCH($E1340,CL,0)),"Unknown",INDIRECT("'C'!$A$"&amp;MATCH($E1340,CL,0)+1)))</f>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ref="X1340:X1371" si="193">IF(AND(C1340="Smelter not listed",OR(LEN(D1340)=0,LEN(E1340)=0)),1,0)</f>
        <v>0</v>
      </c>
      <c r="Y1340" s="263"/>
      <c r="Z1340" s="263"/>
      <c r="AB1340" s="265" t="str">
        <f t="shared" ref="AB1340:AB1371" si="194">B1340&amp;C1340</f>
        <v/>
      </c>
    </row>
    <row r="1341" spans="1:28" s="264" customFormat="1" ht="20.399999999999999">
      <c r="A1341" s="207"/>
      <c r="B1341" s="208"/>
      <c r="C1341" s="212"/>
      <c r="D1341" s="270"/>
      <c r="E1341" s="208"/>
      <c r="F1341" s="208"/>
      <c r="G1341" s="208"/>
      <c r="H1341" s="209"/>
      <c r="I1341" s="210"/>
      <c r="J1341" s="210"/>
      <c r="K1341" s="260"/>
      <c r="L1341" s="260"/>
      <c r="M1341" s="260"/>
      <c r="N1341" s="260"/>
      <c r="O1341" s="260"/>
      <c r="P1341" s="211"/>
      <c r="Q1341" s="261"/>
      <c r="R1341" s="208" t="str">
        <f ca="1">IF(ISERROR($V1341),"",OFFSET('Smelter Look-up'!$C$4,$V1341-4,0)&amp;"")</f>
        <v/>
      </c>
      <c r="S1341" s="215" t="str">
        <f t="shared" ca="1" si="192"/>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si="193"/>
        <v>0</v>
      </c>
      <c r="Y1341" s="263"/>
      <c r="Z1341" s="263"/>
      <c r="AB1341" s="265" t="str">
        <f t="shared" si="194"/>
        <v/>
      </c>
    </row>
    <row r="1342" spans="1:28" s="264" customFormat="1" ht="20.399999999999999">
      <c r="A1342" s="207"/>
      <c r="B1342" s="208"/>
      <c r="C1342" s="212"/>
      <c r="D1342" s="270"/>
      <c r="E1342" s="208"/>
      <c r="F1342" s="208"/>
      <c r="G1342" s="208"/>
      <c r="H1342" s="209"/>
      <c r="I1342" s="210"/>
      <c r="J1342" s="210"/>
      <c r="K1342" s="260"/>
      <c r="L1342" s="260"/>
      <c r="M1342" s="260"/>
      <c r="N1342" s="260"/>
      <c r="O1342" s="260"/>
      <c r="P1342" s="211"/>
      <c r="Q1342" s="261"/>
      <c r="R1342" s="208" t="str">
        <f ca="1">IF(ISERROR($V1342),"",OFFSET('Smelter Look-up'!$C$4,$V1342-4,0)&amp;"")</f>
        <v/>
      </c>
      <c r="S1342" s="215" t="str">
        <f t="shared" ca="1" si="192"/>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si="193"/>
        <v>0</v>
      </c>
      <c r="Y1342" s="263"/>
      <c r="Z1342" s="263"/>
      <c r="AB1342" s="265" t="str">
        <f t="shared" si="194"/>
        <v/>
      </c>
    </row>
    <row r="1343" spans="1:28" s="264" customFormat="1" ht="20.399999999999999">
      <c r="A1343" s="207"/>
      <c r="B1343" s="208"/>
      <c r="C1343" s="212"/>
      <c r="D1343" s="270"/>
      <c r="E1343" s="208"/>
      <c r="F1343" s="208"/>
      <c r="G1343" s="208"/>
      <c r="H1343" s="209"/>
      <c r="I1343" s="210"/>
      <c r="J1343" s="210"/>
      <c r="K1343" s="260"/>
      <c r="L1343" s="260"/>
      <c r="M1343" s="260"/>
      <c r="N1343" s="260"/>
      <c r="O1343" s="260"/>
      <c r="P1343" s="211"/>
      <c r="Q1343" s="261"/>
      <c r="R1343" s="208" t="str">
        <f ca="1">IF(ISERROR($V1343),"",OFFSET('Smelter Look-up'!$C$4,$V1343-4,0)&amp;"")</f>
        <v/>
      </c>
      <c r="S1343" s="215" t="str">
        <f t="shared" ca="1" si="192"/>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si="193"/>
        <v>0</v>
      </c>
      <c r="Y1343" s="263"/>
      <c r="Z1343" s="263"/>
      <c r="AB1343" s="265" t="str">
        <f t="shared" si="194"/>
        <v/>
      </c>
    </row>
    <row r="1344" spans="1:28" s="264" customFormat="1" ht="20.399999999999999">
      <c r="A1344" s="207"/>
      <c r="B1344" s="208"/>
      <c r="C1344" s="212"/>
      <c r="D1344" s="270"/>
      <c r="E1344" s="208"/>
      <c r="F1344" s="208"/>
      <c r="G1344" s="208"/>
      <c r="H1344" s="209"/>
      <c r="I1344" s="210"/>
      <c r="J1344" s="210"/>
      <c r="K1344" s="260"/>
      <c r="L1344" s="260"/>
      <c r="M1344" s="260"/>
      <c r="N1344" s="260"/>
      <c r="O1344" s="260"/>
      <c r="P1344" s="211"/>
      <c r="Q1344" s="261"/>
      <c r="R1344" s="208" t="str">
        <f ca="1">IF(ISERROR($V1344),"",OFFSET('Smelter Look-up'!$C$4,$V1344-4,0)&amp;"")</f>
        <v/>
      </c>
      <c r="S1344" s="215" t="str">
        <f t="shared" ca="1" si="192"/>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si="193"/>
        <v>0</v>
      </c>
      <c r="Y1344" s="263"/>
      <c r="Z1344" s="263"/>
      <c r="AB1344" s="265" t="str">
        <f t="shared" si="194"/>
        <v/>
      </c>
    </row>
    <row r="1345" spans="1:28" s="264" customFormat="1" ht="20.399999999999999">
      <c r="A1345" s="207"/>
      <c r="B1345" s="208"/>
      <c r="C1345" s="212"/>
      <c r="D1345" s="270"/>
      <c r="E1345" s="208"/>
      <c r="F1345" s="208"/>
      <c r="G1345" s="208"/>
      <c r="H1345" s="209"/>
      <c r="I1345" s="210"/>
      <c r="J1345" s="210"/>
      <c r="K1345" s="260"/>
      <c r="L1345" s="260"/>
      <c r="M1345" s="260"/>
      <c r="N1345" s="260"/>
      <c r="O1345" s="260"/>
      <c r="P1345" s="211"/>
      <c r="Q1345" s="261"/>
      <c r="R1345" s="208" t="str">
        <f ca="1">IF(ISERROR($V1345),"",OFFSET('Smelter Look-up'!$C$4,$V1345-4,0)&amp;"")</f>
        <v/>
      </c>
      <c r="S1345" s="215" t="str">
        <f t="shared" ca="1" si="192"/>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si="193"/>
        <v>0</v>
      </c>
      <c r="Y1345" s="263"/>
      <c r="Z1345" s="263"/>
      <c r="AB1345" s="265" t="str">
        <f t="shared" si="194"/>
        <v/>
      </c>
    </row>
    <row r="1346" spans="1:28" s="264" customFormat="1" ht="20.399999999999999">
      <c r="A1346" s="207"/>
      <c r="B1346" s="208"/>
      <c r="C1346" s="212"/>
      <c r="D1346" s="270"/>
      <c r="E1346" s="208"/>
      <c r="F1346" s="208"/>
      <c r="G1346" s="208"/>
      <c r="H1346" s="209"/>
      <c r="I1346" s="210"/>
      <c r="J1346" s="210"/>
      <c r="K1346" s="260"/>
      <c r="L1346" s="260"/>
      <c r="M1346" s="260"/>
      <c r="N1346" s="260"/>
      <c r="O1346" s="260"/>
      <c r="P1346" s="211"/>
      <c r="Q1346" s="261"/>
      <c r="R1346" s="208" t="str">
        <f ca="1">IF(ISERROR($V1346),"",OFFSET('Smelter Look-up'!$C$4,$V1346-4,0)&amp;"")</f>
        <v/>
      </c>
      <c r="S1346" s="215" t="str">
        <f t="shared" ca="1" si="192"/>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si="193"/>
        <v>0</v>
      </c>
      <c r="Y1346" s="263"/>
      <c r="Z1346" s="263"/>
      <c r="AB1346" s="265" t="str">
        <f t="shared" si="194"/>
        <v/>
      </c>
    </row>
    <row r="1347" spans="1:28" s="264" customFormat="1" ht="20.399999999999999">
      <c r="A1347" s="207"/>
      <c r="B1347" s="208"/>
      <c r="C1347" s="212"/>
      <c r="D1347" s="270"/>
      <c r="E1347" s="208"/>
      <c r="F1347" s="208"/>
      <c r="G1347" s="208"/>
      <c r="H1347" s="209"/>
      <c r="I1347" s="210"/>
      <c r="J1347" s="210"/>
      <c r="K1347" s="260"/>
      <c r="L1347" s="260"/>
      <c r="M1347" s="260"/>
      <c r="N1347" s="260"/>
      <c r="O1347" s="260"/>
      <c r="P1347" s="211"/>
      <c r="Q1347" s="261"/>
      <c r="R1347" s="208" t="str">
        <f ca="1">IF(ISERROR($V1347),"",OFFSET('Smelter Look-up'!$C$4,$V1347-4,0)&amp;"")</f>
        <v/>
      </c>
      <c r="S1347" s="215" t="str">
        <f t="shared" ca="1" si="192"/>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si="193"/>
        <v>0</v>
      </c>
      <c r="Y1347" s="263"/>
      <c r="Z1347" s="263"/>
      <c r="AB1347" s="265" t="str">
        <f t="shared" si="194"/>
        <v/>
      </c>
    </row>
    <row r="1348" spans="1:28" s="264" customFormat="1" ht="20.399999999999999">
      <c r="A1348" s="207"/>
      <c r="B1348" s="208"/>
      <c r="C1348" s="212"/>
      <c r="D1348" s="270"/>
      <c r="E1348" s="208"/>
      <c r="F1348" s="208"/>
      <c r="G1348" s="208"/>
      <c r="H1348" s="209"/>
      <c r="I1348" s="210"/>
      <c r="J1348" s="210"/>
      <c r="K1348" s="260"/>
      <c r="L1348" s="260"/>
      <c r="M1348" s="260"/>
      <c r="N1348" s="260"/>
      <c r="O1348" s="260"/>
      <c r="P1348" s="211"/>
      <c r="Q1348" s="261"/>
      <c r="R1348" s="208" t="str">
        <f ca="1">IF(ISERROR($V1348),"",OFFSET('Smelter Look-up'!$C$4,$V1348-4,0)&amp;"")</f>
        <v/>
      </c>
      <c r="S1348" s="215" t="str">
        <f t="shared" ca="1" si="192"/>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si="193"/>
        <v>0</v>
      </c>
      <c r="Y1348" s="263"/>
      <c r="Z1348" s="263"/>
      <c r="AB1348" s="265" t="str">
        <f t="shared" si="194"/>
        <v/>
      </c>
    </row>
    <row r="1349" spans="1:28" s="264" customFormat="1" ht="20.399999999999999">
      <c r="A1349" s="207"/>
      <c r="B1349" s="208"/>
      <c r="C1349" s="212"/>
      <c r="D1349" s="270"/>
      <c r="E1349" s="208"/>
      <c r="F1349" s="208"/>
      <c r="G1349" s="208"/>
      <c r="H1349" s="209"/>
      <c r="I1349" s="210"/>
      <c r="J1349" s="210"/>
      <c r="K1349" s="260"/>
      <c r="L1349" s="260"/>
      <c r="M1349" s="260"/>
      <c r="N1349" s="260"/>
      <c r="O1349" s="260"/>
      <c r="P1349" s="211"/>
      <c r="Q1349" s="261"/>
      <c r="R1349" s="208" t="str">
        <f ca="1">IF(ISERROR($V1349),"",OFFSET('Smelter Look-up'!$C$4,$V1349-4,0)&amp;"")</f>
        <v/>
      </c>
      <c r="S1349" s="215" t="str">
        <f t="shared" ca="1" si="192"/>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si="193"/>
        <v>0</v>
      </c>
      <c r="Y1349" s="263"/>
      <c r="Z1349" s="263"/>
      <c r="AB1349" s="265" t="str">
        <f t="shared" si="194"/>
        <v/>
      </c>
    </row>
    <row r="1350" spans="1:28" s="264" customFormat="1" ht="20.399999999999999">
      <c r="A1350" s="207"/>
      <c r="B1350" s="208"/>
      <c r="C1350" s="212"/>
      <c r="D1350" s="270"/>
      <c r="E1350" s="208"/>
      <c r="F1350" s="208"/>
      <c r="G1350" s="208"/>
      <c r="H1350" s="209"/>
      <c r="I1350" s="210"/>
      <c r="J1350" s="210"/>
      <c r="K1350" s="260"/>
      <c r="L1350" s="260"/>
      <c r="M1350" s="260"/>
      <c r="N1350" s="260"/>
      <c r="O1350" s="260"/>
      <c r="P1350" s="211"/>
      <c r="Q1350" s="261"/>
      <c r="R1350" s="208" t="str">
        <f ca="1">IF(ISERROR($V1350),"",OFFSET('Smelter Look-up'!$C$4,$V1350-4,0)&amp;"")</f>
        <v/>
      </c>
      <c r="S1350" s="215" t="str">
        <f t="shared" ca="1" si="192"/>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si="193"/>
        <v>0</v>
      </c>
      <c r="Y1350" s="263"/>
      <c r="Z1350" s="263"/>
      <c r="AB1350" s="265" t="str">
        <f t="shared" si="194"/>
        <v/>
      </c>
    </row>
    <row r="1351" spans="1:28" s="264" customFormat="1" ht="20.399999999999999">
      <c r="A1351" s="207"/>
      <c r="B1351" s="208"/>
      <c r="C1351" s="212"/>
      <c r="D1351" s="270"/>
      <c r="E1351" s="208"/>
      <c r="F1351" s="208"/>
      <c r="G1351" s="208"/>
      <c r="H1351" s="209"/>
      <c r="I1351" s="210"/>
      <c r="J1351" s="210"/>
      <c r="K1351" s="260"/>
      <c r="L1351" s="260"/>
      <c r="M1351" s="260"/>
      <c r="N1351" s="260"/>
      <c r="O1351" s="260"/>
      <c r="P1351" s="211"/>
      <c r="Q1351" s="261"/>
      <c r="R1351" s="208" t="str">
        <f ca="1">IF(ISERROR($V1351),"",OFFSET('Smelter Look-up'!$C$4,$V1351-4,0)&amp;"")</f>
        <v/>
      </c>
      <c r="S1351" s="215" t="str">
        <f t="shared" ca="1" si="192"/>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si="193"/>
        <v>0</v>
      </c>
      <c r="Y1351" s="263"/>
      <c r="Z1351" s="263"/>
      <c r="AB1351" s="265" t="str">
        <f t="shared" si="194"/>
        <v/>
      </c>
    </row>
    <row r="1352" spans="1:28" s="264" customFormat="1" ht="20.399999999999999">
      <c r="A1352" s="207"/>
      <c r="B1352" s="208"/>
      <c r="C1352" s="212"/>
      <c r="D1352" s="270"/>
      <c r="E1352" s="208"/>
      <c r="F1352" s="208"/>
      <c r="G1352" s="208"/>
      <c r="H1352" s="209"/>
      <c r="I1352" s="210"/>
      <c r="J1352" s="210"/>
      <c r="K1352" s="260"/>
      <c r="L1352" s="260"/>
      <c r="M1352" s="260"/>
      <c r="N1352" s="260"/>
      <c r="O1352" s="260"/>
      <c r="P1352" s="211"/>
      <c r="Q1352" s="261"/>
      <c r="R1352" s="208" t="str">
        <f ca="1">IF(ISERROR($V1352),"",OFFSET('Smelter Look-up'!$C$4,$V1352-4,0)&amp;"")</f>
        <v/>
      </c>
      <c r="S1352" s="215" t="str">
        <f t="shared" ca="1" si="192"/>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si="193"/>
        <v>0</v>
      </c>
      <c r="Y1352" s="263"/>
      <c r="Z1352" s="263"/>
      <c r="AB1352" s="265" t="str">
        <f t="shared" si="194"/>
        <v/>
      </c>
    </row>
    <row r="1353" spans="1:28" s="264" customFormat="1" ht="20.399999999999999">
      <c r="A1353" s="207"/>
      <c r="B1353" s="208"/>
      <c r="C1353" s="212"/>
      <c r="D1353" s="270"/>
      <c r="E1353" s="208"/>
      <c r="F1353" s="208"/>
      <c r="G1353" s="208"/>
      <c r="H1353" s="209"/>
      <c r="I1353" s="210"/>
      <c r="J1353" s="210"/>
      <c r="K1353" s="260"/>
      <c r="L1353" s="260"/>
      <c r="M1353" s="260"/>
      <c r="N1353" s="260"/>
      <c r="O1353" s="260"/>
      <c r="P1353" s="211"/>
      <c r="Q1353" s="261"/>
      <c r="R1353" s="208" t="str">
        <f ca="1">IF(ISERROR($V1353),"",OFFSET('Smelter Look-up'!$C$4,$V1353-4,0)&amp;"")</f>
        <v/>
      </c>
      <c r="S1353" s="215" t="str">
        <f t="shared" ca="1" si="192"/>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si="193"/>
        <v>0</v>
      </c>
      <c r="Y1353" s="263"/>
      <c r="Z1353" s="263"/>
      <c r="AB1353" s="265" t="str">
        <f t="shared" si="194"/>
        <v/>
      </c>
    </row>
    <row r="1354" spans="1:28" s="264" customFormat="1" ht="20.399999999999999">
      <c r="A1354" s="207"/>
      <c r="B1354" s="208"/>
      <c r="C1354" s="212"/>
      <c r="D1354" s="270"/>
      <c r="E1354" s="208"/>
      <c r="F1354" s="208"/>
      <c r="G1354" s="208"/>
      <c r="H1354" s="209"/>
      <c r="I1354" s="210"/>
      <c r="J1354" s="210"/>
      <c r="K1354" s="260"/>
      <c r="L1354" s="260"/>
      <c r="M1354" s="260"/>
      <c r="N1354" s="260"/>
      <c r="O1354" s="260"/>
      <c r="P1354" s="211"/>
      <c r="Q1354" s="261"/>
      <c r="R1354" s="208" t="str">
        <f ca="1">IF(ISERROR($V1354),"",OFFSET('Smelter Look-up'!$C$4,$V1354-4,0)&amp;"")</f>
        <v/>
      </c>
      <c r="S1354" s="215" t="str">
        <f t="shared" ca="1" si="192"/>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si="193"/>
        <v>0</v>
      </c>
      <c r="Y1354" s="263"/>
      <c r="Z1354" s="263"/>
      <c r="AB1354" s="265" t="str">
        <f t="shared" si="194"/>
        <v/>
      </c>
    </row>
    <row r="1355" spans="1:28" s="264" customFormat="1" ht="20.399999999999999">
      <c r="A1355" s="207"/>
      <c r="B1355" s="208"/>
      <c r="C1355" s="212"/>
      <c r="D1355" s="270"/>
      <c r="E1355" s="208"/>
      <c r="F1355" s="208"/>
      <c r="G1355" s="208"/>
      <c r="H1355" s="209"/>
      <c r="I1355" s="210"/>
      <c r="J1355" s="210"/>
      <c r="K1355" s="260"/>
      <c r="L1355" s="260"/>
      <c r="M1355" s="260"/>
      <c r="N1355" s="260"/>
      <c r="O1355" s="260"/>
      <c r="P1355" s="211"/>
      <c r="Q1355" s="261"/>
      <c r="R1355" s="208" t="str">
        <f ca="1">IF(ISERROR($V1355),"",OFFSET('Smelter Look-up'!$C$4,$V1355-4,0)&amp;"")</f>
        <v/>
      </c>
      <c r="S1355" s="215" t="str">
        <f t="shared" ca="1" si="192"/>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si="193"/>
        <v>0</v>
      </c>
      <c r="Y1355" s="263"/>
      <c r="Z1355" s="263"/>
      <c r="AB1355" s="265" t="str">
        <f t="shared" si="194"/>
        <v/>
      </c>
    </row>
    <row r="1356" spans="1:28" s="264" customFormat="1" ht="20.399999999999999">
      <c r="A1356" s="207"/>
      <c r="B1356" s="208"/>
      <c r="C1356" s="212"/>
      <c r="D1356" s="270"/>
      <c r="E1356" s="208"/>
      <c r="F1356" s="208"/>
      <c r="G1356" s="208"/>
      <c r="H1356" s="209"/>
      <c r="I1356" s="210"/>
      <c r="J1356" s="210"/>
      <c r="K1356" s="260"/>
      <c r="L1356" s="260"/>
      <c r="M1356" s="260"/>
      <c r="N1356" s="260"/>
      <c r="O1356" s="260"/>
      <c r="P1356" s="211"/>
      <c r="Q1356" s="261"/>
      <c r="R1356" s="208" t="str">
        <f ca="1">IF(ISERROR($V1356),"",OFFSET('Smelter Look-up'!$C$4,$V1356-4,0)&amp;"")</f>
        <v/>
      </c>
      <c r="S1356" s="215" t="str">
        <f t="shared" ca="1" si="192"/>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si="193"/>
        <v>0</v>
      </c>
      <c r="Y1356" s="263"/>
      <c r="Z1356" s="263"/>
      <c r="AB1356" s="265" t="str">
        <f t="shared" si="194"/>
        <v/>
      </c>
    </row>
    <row r="1357" spans="1:28" s="264" customFormat="1" ht="20.399999999999999">
      <c r="A1357" s="207"/>
      <c r="B1357" s="208"/>
      <c r="C1357" s="212"/>
      <c r="D1357" s="270"/>
      <c r="E1357" s="208"/>
      <c r="F1357" s="208"/>
      <c r="G1357" s="208"/>
      <c r="H1357" s="209"/>
      <c r="I1357" s="210"/>
      <c r="J1357" s="210"/>
      <c r="K1357" s="260"/>
      <c r="L1357" s="260"/>
      <c r="M1357" s="260"/>
      <c r="N1357" s="260"/>
      <c r="O1357" s="260"/>
      <c r="P1357" s="211"/>
      <c r="Q1357" s="261"/>
      <c r="R1357" s="208" t="str">
        <f ca="1">IF(ISERROR($V1357),"",OFFSET('Smelter Look-up'!$C$4,$V1357-4,0)&amp;"")</f>
        <v/>
      </c>
      <c r="S1357" s="215" t="str">
        <f t="shared" ca="1" si="192"/>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si="193"/>
        <v>0</v>
      </c>
      <c r="Y1357" s="263"/>
      <c r="Z1357" s="263"/>
      <c r="AB1357" s="265" t="str">
        <f t="shared" si="194"/>
        <v/>
      </c>
    </row>
    <row r="1358" spans="1:28" s="264" customFormat="1" ht="20.399999999999999">
      <c r="A1358" s="207"/>
      <c r="B1358" s="208"/>
      <c r="C1358" s="212"/>
      <c r="D1358" s="270"/>
      <c r="E1358" s="208"/>
      <c r="F1358" s="208"/>
      <c r="G1358" s="208"/>
      <c r="H1358" s="209"/>
      <c r="I1358" s="210"/>
      <c r="J1358" s="210"/>
      <c r="K1358" s="260"/>
      <c r="L1358" s="260"/>
      <c r="M1358" s="260"/>
      <c r="N1358" s="260"/>
      <c r="O1358" s="260"/>
      <c r="P1358" s="211"/>
      <c r="Q1358" s="261"/>
      <c r="R1358" s="208" t="str">
        <f ca="1">IF(ISERROR($V1358),"",OFFSET('Smelter Look-up'!$C$4,$V1358-4,0)&amp;"")</f>
        <v/>
      </c>
      <c r="S1358" s="215" t="str">
        <f t="shared" ca="1" si="192"/>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si="193"/>
        <v>0</v>
      </c>
      <c r="Y1358" s="263"/>
      <c r="Z1358" s="263"/>
      <c r="AB1358" s="265" t="str">
        <f t="shared" si="194"/>
        <v/>
      </c>
    </row>
    <row r="1359" spans="1:28" s="264" customFormat="1" ht="20.399999999999999">
      <c r="A1359" s="207"/>
      <c r="B1359" s="208"/>
      <c r="C1359" s="212"/>
      <c r="D1359" s="270"/>
      <c r="E1359" s="208"/>
      <c r="F1359" s="208"/>
      <c r="G1359" s="208"/>
      <c r="H1359" s="209"/>
      <c r="I1359" s="210"/>
      <c r="J1359" s="210"/>
      <c r="K1359" s="260"/>
      <c r="L1359" s="260"/>
      <c r="M1359" s="260"/>
      <c r="N1359" s="260"/>
      <c r="O1359" s="260"/>
      <c r="P1359" s="211"/>
      <c r="Q1359" s="261"/>
      <c r="R1359" s="208" t="str">
        <f ca="1">IF(ISERROR($V1359),"",OFFSET('Smelter Look-up'!$C$4,$V1359-4,0)&amp;"")</f>
        <v/>
      </c>
      <c r="S1359" s="215" t="str">
        <f t="shared" ca="1" si="192"/>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si="193"/>
        <v>0</v>
      </c>
      <c r="Y1359" s="263"/>
      <c r="Z1359" s="263"/>
      <c r="AB1359" s="265" t="str">
        <f t="shared" si="194"/>
        <v/>
      </c>
    </row>
    <row r="1360" spans="1:28" s="264" customFormat="1" ht="20.399999999999999">
      <c r="A1360" s="207"/>
      <c r="B1360" s="208"/>
      <c r="C1360" s="212"/>
      <c r="D1360" s="270"/>
      <c r="E1360" s="208"/>
      <c r="F1360" s="208"/>
      <c r="G1360" s="208"/>
      <c r="H1360" s="209"/>
      <c r="I1360" s="210"/>
      <c r="J1360" s="210"/>
      <c r="K1360" s="260"/>
      <c r="L1360" s="260"/>
      <c r="M1360" s="260"/>
      <c r="N1360" s="260"/>
      <c r="O1360" s="260"/>
      <c r="P1360" s="211"/>
      <c r="Q1360" s="261"/>
      <c r="R1360" s="208" t="str">
        <f ca="1">IF(ISERROR($V1360),"",OFFSET('Smelter Look-up'!$C$4,$V1360-4,0)&amp;"")</f>
        <v/>
      </c>
      <c r="S1360" s="215" t="str">
        <f t="shared" ca="1" si="192"/>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si="193"/>
        <v>0</v>
      </c>
      <c r="Y1360" s="263"/>
      <c r="Z1360" s="263"/>
      <c r="AB1360" s="265" t="str">
        <f t="shared" si="194"/>
        <v/>
      </c>
    </row>
    <row r="1361" spans="1:28" s="264" customFormat="1" ht="20.399999999999999">
      <c r="A1361" s="207"/>
      <c r="B1361" s="208"/>
      <c r="C1361" s="212"/>
      <c r="D1361" s="270"/>
      <c r="E1361" s="208"/>
      <c r="F1361" s="208"/>
      <c r="G1361" s="208"/>
      <c r="H1361" s="209"/>
      <c r="I1361" s="210"/>
      <c r="J1361" s="210"/>
      <c r="K1361" s="260"/>
      <c r="L1361" s="260"/>
      <c r="M1361" s="260"/>
      <c r="N1361" s="260"/>
      <c r="O1361" s="260"/>
      <c r="P1361" s="211"/>
      <c r="Q1361" s="261"/>
      <c r="R1361" s="208" t="str">
        <f ca="1">IF(ISERROR($V1361),"",OFFSET('Smelter Look-up'!$C$4,$V1361-4,0)&amp;"")</f>
        <v/>
      </c>
      <c r="S1361" s="215" t="str">
        <f t="shared" ca="1" si="192"/>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si="193"/>
        <v>0</v>
      </c>
      <c r="Y1361" s="263"/>
      <c r="Z1361" s="263"/>
      <c r="AB1361" s="265" t="str">
        <f t="shared" si="194"/>
        <v/>
      </c>
    </row>
    <row r="1362" spans="1:28" s="264" customFormat="1" ht="20.399999999999999">
      <c r="A1362" s="207"/>
      <c r="B1362" s="208"/>
      <c r="C1362" s="212"/>
      <c r="D1362" s="270"/>
      <c r="E1362" s="208"/>
      <c r="F1362" s="208"/>
      <c r="G1362" s="208"/>
      <c r="H1362" s="209"/>
      <c r="I1362" s="210"/>
      <c r="J1362" s="210"/>
      <c r="K1362" s="260"/>
      <c r="L1362" s="260"/>
      <c r="M1362" s="260"/>
      <c r="N1362" s="260"/>
      <c r="O1362" s="260"/>
      <c r="P1362" s="211"/>
      <c r="Q1362" s="261"/>
      <c r="R1362" s="208" t="str">
        <f ca="1">IF(ISERROR($V1362),"",OFFSET('Smelter Look-up'!$C$4,$V1362-4,0)&amp;"")</f>
        <v/>
      </c>
      <c r="S1362" s="215" t="str">
        <f t="shared" ca="1" si="192"/>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si="193"/>
        <v>0</v>
      </c>
      <c r="Y1362" s="263"/>
      <c r="Z1362" s="263"/>
      <c r="AB1362" s="265" t="str">
        <f t="shared" si="194"/>
        <v/>
      </c>
    </row>
    <row r="1363" spans="1:28" s="264" customFormat="1" ht="20.399999999999999">
      <c r="A1363" s="207"/>
      <c r="B1363" s="208"/>
      <c r="C1363" s="212"/>
      <c r="D1363" s="270"/>
      <c r="E1363" s="208"/>
      <c r="F1363" s="208"/>
      <c r="G1363" s="208"/>
      <c r="H1363" s="209"/>
      <c r="I1363" s="210"/>
      <c r="J1363" s="210"/>
      <c r="K1363" s="260"/>
      <c r="L1363" s="260"/>
      <c r="M1363" s="260"/>
      <c r="N1363" s="260"/>
      <c r="O1363" s="260"/>
      <c r="P1363" s="211"/>
      <c r="Q1363" s="261"/>
      <c r="R1363" s="208" t="str">
        <f ca="1">IF(ISERROR($V1363),"",OFFSET('Smelter Look-up'!$C$4,$V1363-4,0)&amp;"")</f>
        <v/>
      </c>
      <c r="S1363" s="215" t="str">
        <f t="shared" ca="1" si="192"/>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si="193"/>
        <v>0</v>
      </c>
      <c r="Y1363" s="263"/>
      <c r="Z1363" s="263"/>
      <c r="AB1363" s="265" t="str">
        <f t="shared" si="194"/>
        <v/>
      </c>
    </row>
    <row r="1364" spans="1:28" s="264" customFormat="1" ht="20.399999999999999">
      <c r="A1364" s="207"/>
      <c r="B1364" s="208"/>
      <c r="C1364" s="212"/>
      <c r="D1364" s="270"/>
      <c r="E1364" s="208"/>
      <c r="F1364" s="208"/>
      <c r="G1364" s="208"/>
      <c r="H1364" s="209"/>
      <c r="I1364" s="210"/>
      <c r="J1364" s="210"/>
      <c r="K1364" s="260"/>
      <c r="L1364" s="260"/>
      <c r="M1364" s="260"/>
      <c r="N1364" s="260"/>
      <c r="O1364" s="260"/>
      <c r="P1364" s="211"/>
      <c r="Q1364" s="261"/>
      <c r="R1364" s="208" t="str">
        <f ca="1">IF(ISERROR($V1364),"",OFFSET('Smelter Look-up'!$C$4,$V1364-4,0)&amp;"")</f>
        <v/>
      </c>
      <c r="S1364" s="215" t="str">
        <f t="shared" ca="1" si="192"/>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si="193"/>
        <v>0</v>
      </c>
      <c r="Y1364" s="263"/>
      <c r="Z1364" s="263"/>
      <c r="AB1364" s="265" t="str">
        <f t="shared" si="194"/>
        <v/>
      </c>
    </row>
    <row r="1365" spans="1:28" s="264" customFormat="1" ht="20.399999999999999">
      <c r="A1365" s="207"/>
      <c r="B1365" s="208"/>
      <c r="C1365" s="212"/>
      <c r="D1365" s="270"/>
      <c r="E1365" s="208"/>
      <c r="F1365" s="208"/>
      <c r="G1365" s="208"/>
      <c r="H1365" s="209"/>
      <c r="I1365" s="210"/>
      <c r="J1365" s="210"/>
      <c r="K1365" s="260"/>
      <c r="L1365" s="260"/>
      <c r="M1365" s="260"/>
      <c r="N1365" s="260"/>
      <c r="O1365" s="260"/>
      <c r="P1365" s="211"/>
      <c r="Q1365" s="261"/>
      <c r="R1365" s="208" t="str">
        <f ca="1">IF(ISERROR($V1365),"",OFFSET('Smelter Look-up'!$C$4,$V1365-4,0)&amp;"")</f>
        <v/>
      </c>
      <c r="S1365" s="215" t="str">
        <f t="shared" ca="1" si="192"/>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si="193"/>
        <v>0</v>
      </c>
      <c r="Y1365" s="263"/>
      <c r="Z1365" s="263"/>
      <c r="AB1365" s="265" t="str">
        <f t="shared" si="194"/>
        <v/>
      </c>
    </row>
    <row r="1366" spans="1:28" s="264" customFormat="1" ht="20.399999999999999">
      <c r="A1366" s="207"/>
      <c r="B1366" s="208"/>
      <c r="C1366" s="212"/>
      <c r="D1366" s="270"/>
      <c r="E1366" s="208"/>
      <c r="F1366" s="208"/>
      <c r="G1366" s="208"/>
      <c r="H1366" s="209"/>
      <c r="I1366" s="210"/>
      <c r="J1366" s="210"/>
      <c r="K1366" s="260"/>
      <c r="L1366" s="260"/>
      <c r="M1366" s="260"/>
      <c r="N1366" s="260"/>
      <c r="O1366" s="260"/>
      <c r="P1366" s="211"/>
      <c r="Q1366" s="261"/>
      <c r="R1366" s="208" t="str">
        <f ca="1">IF(ISERROR($V1366),"",OFFSET('Smelter Look-up'!$C$4,$V1366-4,0)&amp;"")</f>
        <v/>
      </c>
      <c r="S1366" s="215" t="str">
        <f t="shared" ca="1" si="192"/>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si="193"/>
        <v>0</v>
      </c>
      <c r="Y1366" s="263"/>
      <c r="Z1366" s="263"/>
      <c r="AB1366" s="265" t="str">
        <f t="shared" si="194"/>
        <v/>
      </c>
    </row>
    <row r="1367" spans="1:28" s="264" customFormat="1" ht="20.399999999999999">
      <c r="A1367" s="207"/>
      <c r="B1367" s="208"/>
      <c r="C1367" s="212"/>
      <c r="D1367" s="270"/>
      <c r="E1367" s="208"/>
      <c r="F1367" s="208"/>
      <c r="G1367" s="208"/>
      <c r="H1367" s="209"/>
      <c r="I1367" s="210"/>
      <c r="J1367" s="210"/>
      <c r="K1367" s="260"/>
      <c r="L1367" s="260"/>
      <c r="M1367" s="260"/>
      <c r="N1367" s="260"/>
      <c r="O1367" s="260"/>
      <c r="P1367" s="211"/>
      <c r="Q1367" s="261"/>
      <c r="R1367" s="208" t="str">
        <f ca="1">IF(ISERROR($V1367),"",OFFSET('Smelter Look-up'!$C$4,$V1367-4,0)&amp;"")</f>
        <v/>
      </c>
      <c r="S1367" s="215" t="str">
        <f t="shared" ca="1" si="192"/>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si="193"/>
        <v>0</v>
      </c>
      <c r="Y1367" s="263"/>
      <c r="Z1367" s="263"/>
      <c r="AB1367" s="265" t="str">
        <f t="shared" si="194"/>
        <v/>
      </c>
    </row>
    <row r="1368" spans="1:28" s="264" customFormat="1" ht="20.399999999999999">
      <c r="A1368" s="207"/>
      <c r="B1368" s="208"/>
      <c r="C1368" s="212"/>
      <c r="D1368" s="270"/>
      <c r="E1368" s="208"/>
      <c r="F1368" s="208"/>
      <c r="G1368" s="208"/>
      <c r="H1368" s="209"/>
      <c r="I1368" s="210"/>
      <c r="J1368" s="210"/>
      <c r="K1368" s="260"/>
      <c r="L1368" s="260"/>
      <c r="M1368" s="260"/>
      <c r="N1368" s="260"/>
      <c r="O1368" s="260"/>
      <c r="P1368" s="211"/>
      <c r="Q1368" s="261"/>
      <c r="R1368" s="208" t="str">
        <f ca="1">IF(ISERROR($V1368),"",OFFSET('Smelter Look-up'!$C$4,$V1368-4,0)&amp;"")</f>
        <v/>
      </c>
      <c r="S1368" s="215" t="str">
        <f t="shared" ca="1" si="192"/>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si="193"/>
        <v>0</v>
      </c>
      <c r="Y1368" s="263"/>
      <c r="Z1368" s="263"/>
      <c r="AB1368" s="265" t="str">
        <f t="shared" si="194"/>
        <v/>
      </c>
    </row>
    <row r="1369" spans="1:28" s="264" customFormat="1" ht="20.399999999999999">
      <c r="A1369" s="207"/>
      <c r="B1369" s="208"/>
      <c r="C1369" s="212"/>
      <c r="D1369" s="270"/>
      <c r="E1369" s="208"/>
      <c r="F1369" s="208"/>
      <c r="G1369" s="208"/>
      <c r="H1369" s="209"/>
      <c r="I1369" s="210"/>
      <c r="J1369" s="210"/>
      <c r="K1369" s="260"/>
      <c r="L1369" s="260"/>
      <c r="M1369" s="260"/>
      <c r="N1369" s="260"/>
      <c r="O1369" s="260"/>
      <c r="P1369" s="211"/>
      <c r="Q1369" s="261"/>
      <c r="R1369" s="208" t="str">
        <f ca="1">IF(ISERROR($V1369),"",OFFSET('Smelter Look-up'!$C$4,$V1369-4,0)&amp;"")</f>
        <v/>
      </c>
      <c r="S1369" s="215" t="str">
        <f t="shared" ca="1" si="192"/>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si="193"/>
        <v>0</v>
      </c>
      <c r="Y1369" s="263"/>
      <c r="Z1369" s="263"/>
      <c r="AB1369" s="265" t="str">
        <f t="shared" si="194"/>
        <v/>
      </c>
    </row>
    <row r="1370" spans="1:28" s="264" customFormat="1" ht="20.399999999999999">
      <c r="A1370" s="207"/>
      <c r="B1370" s="208"/>
      <c r="C1370" s="212"/>
      <c r="D1370" s="270"/>
      <c r="E1370" s="208"/>
      <c r="F1370" s="208"/>
      <c r="G1370" s="208"/>
      <c r="H1370" s="209"/>
      <c r="I1370" s="210"/>
      <c r="J1370" s="210"/>
      <c r="K1370" s="260"/>
      <c r="L1370" s="260"/>
      <c r="M1370" s="260"/>
      <c r="N1370" s="260"/>
      <c r="O1370" s="260"/>
      <c r="P1370" s="211"/>
      <c r="Q1370" s="261"/>
      <c r="R1370" s="208" t="str">
        <f ca="1">IF(ISERROR($V1370),"",OFFSET('Smelter Look-up'!$C$4,$V1370-4,0)&amp;"")</f>
        <v/>
      </c>
      <c r="S1370" s="215" t="str">
        <f t="shared" ca="1" si="192"/>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si="193"/>
        <v>0</v>
      </c>
      <c r="Y1370" s="263"/>
      <c r="Z1370" s="263"/>
      <c r="AB1370" s="265" t="str">
        <f t="shared" si="194"/>
        <v/>
      </c>
    </row>
    <row r="1371" spans="1:28" s="264" customFormat="1" ht="20.399999999999999">
      <c r="A1371" s="207"/>
      <c r="B1371" s="208"/>
      <c r="C1371" s="212"/>
      <c r="D1371" s="270"/>
      <c r="E1371" s="208"/>
      <c r="F1371" s="208"/>
      <c r="G1371" s="208"/>
      <c r="H1371" s="209"/>
      <c r="I1371" s="210"/>
      <c r="J1371" s="210"/>
      <c r="K1371" s="260"/>
      <c r="L1371" s="260"/>
      <c r="M1371" s="260"/>
      <c r="N1371" s="260"/>
      <c r="O1371" s="260"/>
      <c r="P1371" s="211"/>
      <c r="Q1371" s="261"/>
      <c r="R1371" s="208" t="str">
        <f ca="1">IF(ISERROR($V1371),"",OFFSET('Smelter Look-up'!$C$4,$V1371-4,0)&amp;"")</f>
        <v/>
      </c>
      <c r="S1371" s="215" t="str">
        <f t="shared" ca="1" si="192"/>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si="193"/>
        <v>0</v>
      </c>
      <c r="Y1371" s="263"/>
      <c r="Z1371" s="263"/>
      <c r="AB1371" s="265" t="str">
        <f t="shared" si="194"/>
        <v/>
      </c>
    </row>
    <row r="1372" spans="1:28" s="264" customFormat="1" ht="20.399999999999999">
      <c r="A1372" s="207"/>
      <c r="B1372" s="208"/>
      <c r="C1372" s="212"/>
      <c r="D1372" s="270"/>
      <c r="E1372" s="208"/>
      <c r="F1372" s="208"/>
      <c r="G1372" s="208"/>
      <c r="H1372" s="209"/>
      <c r="I1372" s="210"/>
      <c r="J1372" s="210"/>
      <c r="K1372" s="260"/>
      <c r="L1372" s="260"/>
      <c r="M1372" s="260"/>
      <c r="N1372" s="260"/>
      <c r="O1372" s="260"/>
      <c r="P1372" s="211"/>
      <c r="Q1372" s="261"/>
      <c r="R1372" s="208" t="str">
        <f ca="1">IF(ISERROR($V1372),"",OFFSET('Smelter Look-up'!$C$4,$V1372-4,0)&amp;"")</f>
        <v/>
      </c>
      <c r="S1372" s="215" t="str">
        <f t="shared" ref="S1372:S1402" ca="1" si="195">IF(B1372="","",IF(ISERROR(MATCH($E1372,CL,0)),"Unknown",INDIRECT("'C'!$A$"&amp;MATCH($E1372,CL,0)+1)))</f>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ref="X1372:X1402" si="196">IF(AND(C1372="Smelter not listed",OR(LEN(D1372)=0,LEN(E1372)=0)),1,0)</f>
        <v>0</v>
      </c>
      <c r="Y1372" s="263"/>
      <c r="Z1372" s="263"/>
      <c r="AB1372" s="265" t="str">
        <f t="shared" ref="AB1372:AB1402" si="197">B1372&amp;C1372</f>
        <v/>
      </c>
    </row>
    <row r="1373" spans="1:28" s="264" customFormat="1" ht="20.399999999999999">
      <c r="A1373" s="207"/>
      <c r="B1373" s="208"/>
      <c r="C1373" s="212"/>
      <c r="D1373" s="270"/>
      <c r="E1373" s="208"/>
      <c r="F1373" s="208"/>
      <c r="G1373" s="208"/>
      <c r="H1373" s="209"/>
      <c r="I1373" s="210"/>
      <c r="J1373" s="210"/>
      <c r="K1373" s="260"/>
      <c r="L1373" s="260"/>
      <c r="M1373" s="260"/>
      <c r="N1373" s="260"/>
      <c r="O1373" s="260"/>
      <c r="P1373" s="211"/>
      <c r="Q1373" s="261"/>
      <c r="R1373" s="208" t="str">
        <f ca="1">IF(ISERROR($V1373),"",OFFSET('Smelter Look-up'!$C$4,$V1373-4,0)&amp;"")</f>
        <v/>
      </c>
      <c r="S1373" s="215" t="str">
        <f t="shared" ca="1" si="195"/>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si="196"/>
        <v>0</v>
      </c>
      <c r="Y1373" s="263"/>
      <c r="Z1373" s="263"/>
      <c r="AB1373" s="265" t="str">
        <f t="shared" si="197"/>
        <v/>
      </c>
    </row>
    <row r="1374" spans="1:28" s="264" customFormat="1" ht="20.399999999999999">
      <c r="A1374" s="207"/>
      <c r="B1374" s="208"/>
      <c r="C1374" s="212"/>
      <c r="D1374" s="270"/>
      <c r="E1374" s="208"/>
      <c r="F1374" s="208"/>
      <c r="G1374" s="208"/>
      <c r="H1374" s="209"/>
      <c r="I1374" s="210"/>
      <c r="J1374" s="210"/>
      <c r="K1374" s="260"/>
      <c r="L1374" s="260"/>
      <c r="M1374" s="260"/>
      <c r="N1374" s="260"/>
      <c r="O1374" s="260"/>
      <c r="P1374" s="211"/>
      <c r="Q1374" s="261"/>
      <c r="R1374" s="208" t="str">
        <f ca="1">IF(ISERROR($V1374),"",OFFSET('Smelter Look-up'!$C$4,$V1374-4,0)&amp;"")</f>
        <v/>
      </c>
      <c r="S1374" s="215" t="str">
        <f t="shared" ca="1" si="195"/>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si="196"/>
        <v>0</v>
      </c>
      <c r="Y1374" s="263"/>
      <c r="Z1374" s="263"/>
      <c r="AB1374" s="265" t="str">
        <f t="shared" si="197"/>
        <v/>
      </c>
    </row>
    <row r="1375" spans="1:28" s="264" customFormat="1" ht="20.399999999999999">
      <c r="A1375" s="207"/>
      <c r="B1375" s="208"/>
      <c r="C1375" s="212"/>
      <c r="D1375" s="270"/>
      <c r="E1375" s="208"/>
      <c r="F1375" s="208"/>
      <c r="G1375" s="208"/>
      <c r="H1375" s="209"/>
      <c r="I1375" s="210"/>
      <c r="J1375" s="210"/>
      <c r="K1375" s="260"/>
      <c r="L1375" s="260"/>
      <c r="M1375" s="260"/>
      <c r="N1375" s="260"/>
      <c r="O1375" s="260"/>
      <c r="P1375" s="211"/>
      <c r="Q1375" s="261"/>
      <c r="R1375" s="208" t="str">
        <f ca="1">IF(ISERROR($V1375),"",OFFSET('Smelter Look-up'!$C$4,$V1375-4,0)&amp;"")</f>
        <v/>
      </c>
      <c r="S1375" s="215" t="str">
        <f t="shared" ca="1" si="195"/>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si="196"/>
        <v>0</v>
      </c>
      <c r="Y1375" s="263"/>
      <c r="Z1375" s="263"/>
      <c r="AB1375" s="265" t="str">
        <f t="shared" si="197"/>
        <v/>
      </c>
    </row>
    <row r="1376" spans="1:28" s="264" customFormat="1" ht="20.399999999999999">
      <c r="A1376" s="207"/>
      <c r="B1376" s="208"/>
      <c r="C1376" s="212"/>
      <c r="D1376" s="270"/>
      <c r="E1376" s="208"/>
      <c r="F1376" s="208"/>
      <c r="G1376" s="208"/>
      <c r="H1376" s="209"/>
      <c r="I1376" s="210"/>
      <c r="J1376" s="210"/>
      <c r="K1376" s="260"/>
      <c r="L1376" s="260"/>
      <c r="M1376" s="260"/>
      <c r="N1376" s="260"/>
      <c r="O1376" s="260"/>
      <c r="P1376" s="211"/>
      <c r="Q1376" s="261"/>
      <c r="R1376" s="208" t="str">
        <f ca="1">IF(ISERROR($V1376),"",OFFSET('Smelter Look-up'!$C$4,$V1376-4,0)&amp;"")</f>
        <v/>
      </c>
      <c r="S1376" s="215" t="str">
        <f t="shared" ca="1" si="195"/>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si="196"/>
        <v>0</v>
      </c>
      <c r="Y1376" s="263"/>
      <c r="Z1376" s="263"/>
      <c r="AB1376" s="265" t="str">
        <f t="shared" si="197"/>
        <v/>
      </c>
    </row>
    <row r="1377" spans="1:28" s="264" customFormat="1" ht="20.399999999999999">
      <c r="A1377" s="207"/>
      <c r="B1377" s="208"/>
      <c r="C1377" s="212"/>
      <c r="D1377" s="270"/>
      <c r="E1377" s="208"/>
      <c r="F1377" s="208"/>
      <c r="G1377" s="208"/>
      <c r="H1377" s="209"/>
      <c r="I1377" s="210"/>
      <c r="J1377" s="210"/>
      <c r="K1377" s="260"/>
      <c r="L1377" s="260"/>
      <c r="M1377" s="260"/>
      <c r="N1377" s="260"/>
      <c r="O1377" s="260"/>
      <c r="P1377" s="211"/>
      <c r="Q1377" s="261"/>
      <c r="R1377" s="208" t="str">
        <f ca="1">IF(ISERROR($V1377),"",OFFSET('Smelter Look-up'!$C$4,$V1377-4,0)&amp;"")</f>
        <v/>
      </c>
      <c r="S1377" s="215" t="str">
        <f t="shared" ca="1" si="195"/>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si="196"/>
        <v>0</v>
      </c>
      <c r="Y1377" s="263"/>
      <c r="Z1377" s="263"/>
      <c r="AB1377" s="265" t="str">
        <f t="shared" si="197"/>
        <v/>
      </c>
    </row>
    <row r="1378" spans="1:28" s="264" customFormat="1" ht="20.399999999999999">
      <c r="A1378" s="207"/>
      <c r="B1378" s="208"/>
      <c r="C1378" s="212"/>
      <c r="D1378" s="270"/>
      <c r="E1378" s="208"/>
      <c r="F1378" s="208"/>
      <c r="G1378" s="208"/>
      <c r="H1378" s="209"/>
      <c r="I1378" s="210"/>
      <c r="J1378" s="210"/>
      <c r="K1378" s="260"/>
      <c r="L1378" s="260"/>
      <c r="M1378" s="260"/>
      <c r="N1378" s="260"/>
      <c r="O1378" s="260"/>
      <c r="P1378" s="211"/>
      <c r="Q1378" s="261"/>
      <c r="R1378" s="208" t="str">
        <f ca="1">IF(ISERROR($V1378),"",OFFSET('Smelter Look-up'!$C$4,$V1378-4,0)&amp;"")</f>
        <v/>
      </c>
      <c r="S1378" s="215" t="str">
        <f t="shared" ca="1" si="195"/>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si="196"/>
        <v>0</v>
      </c>
      <c r="Y1378" s="263"/>
      <c r="Z1378" s="263"/>
      <c r="AB1378" s="265" t="str">
        <f t="shared" si="197"/>
        <v/>
      </c>
    </row>
    <row r="1379" spans="1:28" s="264" customFormat="1" ht="20.399999999999999">
      <c r="A1379" s="207"/>
      <c r="B1379" s="208"/>
      <c r="C1379" s="212"/>
      <c r="D1379" s="270"/>
      <c r="E1379" s="208"/>
      <c r="F1379" s="208"/>
      <c r="G1379" s="208"/>
      <c r="H1379" s="209"/>
      <c r="I1379" s="210"/>
      <c r="J1379" s="210"/>
      <c r="K1379" s="260"/>
      <c r="L1379" s="260"/>
      <c r="M1379" s="260"/>
      <c r="N1379" s="260"/>
      <c r="O1379" s="260"/>
      <c r="P1379" s="211"/>
      <c r="Q1379" s="261"/>
      <c r="R1379" s="208" t="str">
        <f ca="1">IF(ISERROR($V1379),"",OFFSET('Smelter Look-up'!$C$4,$V1379-4,0)&amp;"")</f>
        <v/>
      </c>
      <c r="S1379" s="215" t="str">
        <f t="shared" ca="1" si="195"/>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si="196"/>
        <v>0</v>
      </c>
      <c r="Y1379" s="263"/>
      <c r="Z1379" s="263"/>
      <c r="AB1379" s="265" t="str">
        <f t="shared" si="197"/>
        <v/>
      </c>
    </row>
    <row r="1380" spans="1:28" s="264" customFormat="1" ht="20.399999999999999">
      <c r="A1380" s="207"/>
      <c r="B1380" s="208"/>
      <c r="C1380" s="212"/>
      <c r="D1380" s="270"/>
      <c r="E1380" s="208"/>
      <c r="F1380" s="208"/>
      <c r="G1380" s="208"/>
      <c r="H1380" s="209"/>
      <c r="I1380" s="210"/>
      <c r="J1380" s="210"/>
      <c r="K1380" s="260"/>
      <c r="L1380" s="260"/>
      <c r="M1380" s="260"/>
      <c r="N1380" s="260"/>
      <c r="O1380" s="260"/>
      <c r="P1380" s="211"/>
      <c r="Q1380" s="261"/>
      <c r="R1380" s="208" t="str">
        <f ca="1">IF(ISERROR($V1380),"",OFFSET('Smelter Look-up'!$C$4,$V1380-4,0)&amp;"")</f>
        <v/>
      </c>
      <c r="S1380" s="215" t="str">
        <f t="shared" ca="1" si="195"/>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si="196"/>
        <v>0</v>
      </c>
      <c r="Y1380" s="263"/>
      <c r="Z1380" s="263"/>
      <c r="AB1380" s="265" t="str">
        <f t="shared" si="197"/>
        <v/>
      </c>
    </row>
    <row r="1381" spans="1:28" s="264" customFormat="1" ht="20.399999999999999">
      <c r="A1381" s="207"/>
      <c r="B1381" s="208"/>
      <c r="C1381" s="212"/>
      <c r="D1381" s="270"/>
      <c r="E1381" s="208"/>
      <c r="F1381" s="208"/>
      <c r="G1381" s="208"/>
      <c r="H1381" s="209"/>
      <c r="I1381" s="210"/>
      <c r="J1381" s="210"/>
      <c r="K1381" s="260"/>
      <c r="L1381" s="260"/>
      <c r="M1381" s="260"/>
      <c r="N1381" s="260"/>
      <c r="O1381" s="260"/>
      <c r="P1381" s="211"/>
      <c r="Q1381" s="261"/>
      <c r="R1381" s="208" t="str">
        <f ca="1">IF(ISERROR($V1381),"",OFFSET('Smelter Look-up'!$C$4,$V1381-4,0)&amp;"")</f>
        <v/>
      </c>
      <c r="S1381" s="215" t="str">
        <f t="shared" ca="1" si="195"/>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si="196"/>
        <v>0</v>
      </c>
      <c r="Y1381" s="263"/>
      <c r="Z1381" s="263"/>
      <c r="AB1381" s="265" t="str">
        <f t="shared" si="197"/>
        <v/>
      </c>
    </row>
    <row r="1382" spans="1:28" s="264" customFormat="1" ht="20.399999999999999">
      <c r="A1382" s="207"/>
      <c r="B1382" s="208"/>
      <c r="C1382" s="212"/>
      <c r="D1382" s="270"/>
      <c r="E1382" s="208"/>
      <c r="F1382" s="208"/>
      <c r="G1382" s="208"/>
      <c r="H1382" s="209"/>
      <c r="I1382" s="210"/>
      <c r="J1382" s="210"/>
      <c r="K1382" s="260"/>
      <c r="L1382" s="260"/>
      <c r="M1382" s="260"/>
      <c r="N1382" s="260"/>
      <c r="O1382" s="260"/>
      <c r="P1382" s="211"/>
      <c r="Q1382" s="261"/>
      <c r="R1382" s="208" t="str">
        <f ca="1">IF(ISERROR($V1382),"",OFFSET('Smelter Look-up'!$C$4,$V1382-4,0)&amp;"")</f>
        <v/>
      </c>
      <c r="S1382" s="215" t="str">
        <f t="shared" ca="1" si="195"/>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si="196"/>
        <v>0</v>
      </c>
      <c r="Y1382" s="263"/>
      <c r="Z1382" s="263"/>
      <c r="AB1382" s="265" t="str">
        <f t="shared" si="197"/>
        <v/>
      </c>
    </row>
    <row r="1383" spans="1:28" s="264" customFormat="1" ht="20.399999999999999">
      <c r="A1383" s="207"/>
      <c r="B1383" s="208"/>
      <c r="C1383" s="212"/>
      <c r="D1383" s="270"/>
      <c r="E1383" s="208"/>
      <c r="F1383" s="208"/>
      <c r="G1383" s="208"/>
      <c r="H1383" s="209"/>
      <c r="I1383" s="210"/>
      <c r="J1383" s="210"/>
      <c r="K1383" s="260"/>
      <c r="L1383" s="260"/>
      <c r="M1383" s="260"/>
      <c r="N1383" s="260"/>
      <c r="O1383" s="260"/>
      <c r="P1383" s="211"/>
      <c r="Q1383" s="261"/>
      <c r="R1383" s="208" t="str">
        <f ca="1">IF(ISERROR($V1383),"",OFFSET('Smelter Look-up'!$C$4,$V1383-4,0)&amp;"")</f>
        <v/>
      </c>
      <c r="S1383" s="215" t="str">
        <f t="shared" ca="1" si="195"/>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si="196"/>
        <v>0</v>
      </c>
      <c r="Y1383" s="263"/>
      <c r="Z1383" s="263"/>
      <c r="AB1383" s="265" t="str">
        <f t="shared" si="197"/>
        <v/>
      </c>
    </row>
    <row r="1384" spans="1:28" s="264" customFormat="1" ht="20.399999999999999">
      <c r="A1384" s="207"/>
      <c r="B1384" s="208"/>
      <c r="C1384" s="212"/>
      <c r="D1384" s="270"/>
      <c r="E1384" s="208"/>
      <c r="F1384" s="208"/>
      <c r="G1384" s="208"/>
      <c r="H1384" s="209"/>
      <c r="I1384" s="210"/>
      <c r="J1384" s="210"/>
      <c r="K1384" s="260"/>
      <c r="L1384" s="260"/>
      <c r="M1384" s="260"/>
      <c r="N1384" s="260"/>
      <c r="O1384" s="260"/>
      <c r="P1384" s="211"/>
      <c r="Q1384" s="261"/>
      <c r="R1384" s="208" t="str">
        <f ca="1">IF(ISERROR($V1384),"",OFFSET('Smelter Look-up'!$C$4,$V1384-4,0)&amp;"")</f>
        <v/>
      </c>
      <c r="S1384" s="215" t="str">
        <f t="shared" ca="1" si="195"/>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si="196"/>
        <v>0</v>
      </c>
      <c r="Y1384" s="263"/>
      <c r="Z1384" s="263"/>
      <c r="AB1384" s="265" t="str">
        <f t="shared" si="197"/>
        <v/>
      </c>
    </row>
    <row r="1385" spans="1:28" s="264" customFormat="1" ht="20.399999999999999">
      <c r="A1385" s="207"/>
      <c r="B1385" s="208"/>
      <c r="C1385" s="212"/>
      <c r="D1385" s="270"/>
      <c r="E1385" s="208"/>
      <c r="F1385" s="208"/>
      <c r="G1385" s="208"/>
      <c r="H1385" s="209"/>
      <c r="I1385" s="210"/>
      <c r="J1385" s="210"/>
      <c r="K1385" s="260"/>
      <c r="L1385" s="260"/>
      <c r="M1385" s="260"/>
      <c r="N1385" s="260"/>
      <c r="O1385" s="260"/>
      <c r="P1385" s="211"/>
      <c r="Q1385" s="261"/>
      <c r="R1385" s="208" t="str">
        <f ca="1">IF(ISERROR($V1385),"",OFFSET('Smelter Look-up'!$C$4,$V1385-4,0)&amp;"")</f>
        <v/>
      </c>
      <c r="S1385" s="215" t="str">
        <f t="shared" ca="1" si="195"/>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si="196"/>
        <v>0</v>
      </c>
      <c r="Y1385" s="263"/>
      <c r="Z1385" s="263"/>
      <c r="AB1385" s="265" t="str">
        <f t="shared" si="197"/>
        <v/>
      </c>
    </row>
    <row r="1386" spans="1:28" s="264" customFormat="1" ht="20.399999999999999">
      <c r="A1386" s="207"/>
      <c r="B1386" s="208"/>
      <c r="C1386" s="212"/>
      <c r="D1386" s="270"/>
      <c r="E1386" s="208"/>
      <c r="F1386" s="208"/>
      <c r="G1386" s="208"/>
      <c r="H1386" s="209"/>
      <c r="I1386" s="210"/>
      <c r="J1386" s="210"/>
      <c r="K1386" s="260"/>
      <c r="L1386" s="260"/>
      <c r="M1386" s="260"/>
      <c r="N1386" s="260"/>
      <c r="O1386" s="260"/>
      <c r="P1386" s="211"/>
      <c r="Q1386" s="261"/>
      <c r="R1386" s="208" t="str">
        <f ca="1">IF(ISERROR($V1386),"",OFFSET('Smelter Look-up'!$C$4,$V1386-4,0)&amp;"")</f>
        <v/>
      </c>
      <c r="S1386" s="215" t="str">
        <f t="shared" ca="1" si="195"/>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si="196"/>
        <v>0</v>
      </c>
      <c r="Y1386" s="263"/>
      <c r="Z1386" s="263"/>
      <c r="AB1386" s="265" t="str">
        <f t="shared" si="197"/>
        <v/>
      </c>
    </row>
    <row r="1387" spans="1:28" s="264" customFormat="1" ht="20.399999999999999">
      <c r="A1387" s="207"/>
      <c r="B1387" s="208"/>
      <c r="C1387" s="212"/>
      <c r="D1387" s="270"/>
      <c r="E1387" s="208"/>
      <c r="F1387" s="208"/>
      <c r="G1387" s="208"/>
      <c r="H1387" s="209"/>
      <c r="I1387" s="210"/>
      <c r="J1387" s="210"/>
      <c r="K1387" s="260"/>
      <c r="L1387" s="260"/>
      <c r="M1387" s="260"/>
      <c r="N1387" s="260"/>
      <c r="O1387" s="260"/>
      <c r="P1387" s="211"/>
      <c r="Q1387" s="261"/>
      <c r="R1387" s="208" t="str">
        <f ca="1">IF(ISERROR($V1387),"",OFFSET('Smelter Look-up'!$C$4,$V1387-4,0)&amp;"")</f>
        <v/>
      </c>
      <c r="S1387" s="215" t="str">
        <f t="shared" ca="1" si="195"/>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si="196"/>
        <v>0</v>
      </c>
      <c r="Y1387" s="263"/>
      <c r="Z1387" s="263"/>
      <c r="AB1387" s="265" t="str">
        <f t="shared" si="197"/>
        <v/>
      </c>
    </row>
    <row r="1388" spans="1:28" s="264" customFormat="1" ht="20.399999999999999">
      <c r="A1388" s="207"/>
      <c r="B1388" s="208"/>
      <c r="C1388" s="212"/>
      <c r="D1388" s="270"/>
      <c r="E1388" s="208"/>
      <c r="F1388" s="208"/>
      <c r="G1388" s="208"/>
      <c r="H1388" s="209"/>
      <c r="I1388" s="210"/>
      <c r="J1388" s="210"/>
      <c r="K1388" s="260"/>
      <c r="L1388" s="260"/>
      <c r="M1388" s="260"/>
      <c r="N1388" s="260"/>
      <c r="O1388" s="260"/>
      <c r="P1388" s="211"/>
      <c r="Q1388" s="261"/>
      <c r="R1388" s="208" t="str">
        <f ca="1">IF(ISERROR($V1388),"",OFFSET('Smelter Look-up'!$C$4,$V1388-4,0)&amp;"")</f>
        <v/>
      </c>
      <c r="S1388" s="215" t="str">
        <f t="shared" ca="1" si="195"/>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si="196"/>
        <v>0</v>
      </c>
      <c r="Y1388" s="263"/>
      <c r="Z1388" s="263"/>
      <c r="AB1388" s="265" t="str">
        <f t="shared" si="197"/>
        <v/>
      </c>
    </row>
    <row r="1389" spans="1:28" s="264" customFormat="1" ht="20.399999999999999">
      <c r="A1389" s="207"/>
      <c r="B1389" s="208"/>
      <c r="C1389" s="212"/>
      <c r="D1389" s="270"/>
      <c r="E1389" s="208"/>
      <c r="F1389" s="208"/>
      <c r="G1389" s="208"/>
      <c r="H1389" s="209"/>
      <c r="I1389" s="210"/>
      <c r="J1389" s="210"/>
      <c r="K1389" s="260"/>
      <c r="L1389" s="260"/>
      <c r="M1389" s="260"/>
      <c r="N1389" s="260"/>
      <c r="O1389" s="260"/>
      <c r="P1389" s="211"/>
      <c r="Q1389" s="261"/>
      <c r="R1389" s="208" t="str">
        <f ca="1">IF(ISERROR($V1389),"",OFFSET('Smelter Look-up'!$C$4,$V1389-4,0)&amp;"")</f>
        <v/>
      </c>
      <c r="S1389" s="215" t="str">
        <f t="shared" ca="1" si="195"/>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si="196"/>
        <v>0</v>
      </c>
      <c r="Y1389" s="263"/>
      <c r="Z1389" s="263"/>
      <c r="AB1389" s="265" t="str">
        <f t="shared" si="197"/>
        <v/>
      </c>
    </row>
    <row r="1390" spans="1:28" s="264" customFormat="1" ht="20.399999999999999">
      <c r="A1390" s="207"/>
      <c r="B1390" s="208"/>
      <c r="C1390" s="212"/>
      <c r="D1390" s="270"/>
      <c r="E1390" s="208"/>
      <c r="F1390" s="208"/>
      <c r="G1390" s="208"/>
      <c r="H1390" s="209"/>
      <c r="I1390" s="210"/>
      <c r="J1390" s="210"/>
      <c r="K1390" s="260"/>
      <c r="L1390" s="260"/>
      <c r="M1390" s="260"/>
      <c r="N1390" s="260"/>
      <c r="O1390" s="260"/>
      <c r="P1390" s="211"/>
      <c r="Q1390" s="261"/>
      <c r="R1390" s="208" t="str">
        <f ca="1">IF(ISERROR($V1390),"",OFFSET('Smelter Look-up'!$C$4,$V1390-4,0)&amp;"")</f>
        <v/>
      </c>
      <c r="S1390" s="215" t="str">
        <f t="shared" ca="1" si="195"/>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si="196"/>
        <v>0</v>
      </c>
      <c r="Y1390" s="263"/>
      <c r="Z1390" s="263"/>
      <c r="AB1390" s="265" t="str">
        <f t="shared" si="197"/>
        <v/>
      </c>
    </row>
    <row r="1391" spans="1:28" s="264" customFormat="1" ht="20.399999999999999">
      <c r="A1391" s="207"/>
      <c r="B1391" s="208"/>
      <c r="C1391" s="212"/>
      <c r="D1391" s="270"/>
      <c r="E1391" s="208"/>
      <c r="F1391" s="208"/>
      <c r="G1391" s="208"/>
      <c r="H1391" s="209"/>
      <c r="I1391" s="210"/>
      <c r="J1391" s="210"/>
      <c r="K1391" s="260"/>
      <c r="L1391" s="260"/>
      <c r="M1391" s="260"/>
      <c r="N1391" s="260"/>
      <c r="O1391" s="260"/>
      <c r="P1391" s="211"/>
      <c r="Q1391" s="261"/>
      <c r="R1391" s="208" t="str">
        <f ca="1">IF(ISERROR($V1391),"",OFFSET('Smelter Look-up'!$C$4,$V1391-4,0)&amp;"")</f>
        <v/>
      </c>
      <c r="S1391" s="215" t="str">
        <f t="shared" ca="1" si="195"/>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si="196"/>
        <v>0</v>
      </c>
      <c r="Y1391" s="263"/>
      <c r="Z1391" s="263"/>
      <c r="AB1391" s="265" t="str">
        <f t="shared" si="197"/>
        <v/>
      </c>
    </row>
    <row r="1392" spans="1:28" s="264" customFormat="1" ht="20.399999999999999">
      <c r="A1392" s="207"/>
      <c r="B1392" s="208"/>
      <c r="C1392" s="212"/>
      <c r="D1392" s="270"/>
      <c r="E1392" s="208"/>
      <c r="F1392" s="208"/>
      <c r="G1392" s="208"/>
      <c r="H1392" s="209"/>
      <c r="I1392" s="210"/>
      <c r="J1392" s="210"/>
      <c r="K1392" s="260"/>
      <c r="L1392" s="260"/>
      <c r="M1392" s="260"/>
      <c r="N1392" s="260"/>
      <c r="O1392" s="260"/>
      <c r="P1392" s="211"/>
      <c r="Q1392" s="261"/>
      <c r="R1392" s="208" t="str">
        <f ca="1">IF(ISERROR($V1392),"",OFFSET('Smelter Look-up'!$C$4,$V1392-4,0)&amp;"")</f>
        <v/>
      </c>
      <c r="S1392" s="215" t="str">
        <f t="shared" ca="1" si="195"/>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si="196"/>
        <v>0</v>
      </c>
      <c r="Y1392" s="263"/>
      <c r="Z1392" s="263"/>
      <c r="AB1392" s="265" t="str">
        <f t="shared" si="197"/>
        <v/>
      </c>
    </row>
    <row r="1393" spans="1:28" s="264" customFormat="1" ht="20.399999999999999">
      <c r="A1393" s="207"/>
      <c r="B1393" s="208"/>
      <c r="C1393" s="212"/>
      <c r="D1393" s="270"/>
      <c r="E1393" s="208"/>
      <c r="F1393" s="208"/>
      <c r="G1393" s="208"/>
      <c r="H1393" s="209"/>
      <c r="I1393" s="210"/>
      <c r="J1393" s="210"/>
      <c r="K1393" s="260"/>
      <c r="L1393" s="260"/>
      <c r="M1393" s="260"/>
      <c r="N1393" s="260"/>
      <c r="O1393" s="260"/>
      <c r="P1393" s="211"/>
      <c r="Q1393" s="261"/>
      <c r="R1393" s="208" t="str">
        <f ca="1">IF(ISERROR($V1393),"",OFFSET('Smelter Look-up'!$C$4,$V1393-4,0)&amp;"")</f>
        <v/>
      </c>
      <c r="S1393" s="215" t="str">
        <f t="shared" ca="1" si="195"/>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si="196"/>
        <v>0</v>
      </c>
      <c r="Y1393" s="263"/>
      <c r="Z1393" s="263"/>
      <c r="AB1393" s="265" t="str">
        <f t="shared" si="197"/>
        <v/>
      </c>
    </row>
    <row r="1394" spans="1:28" s="264" customFormat="1" ht="20.399999999999999">
      <c r="A1394" s="207"/>
      <c r="B1394" s="208"/>
      <c r="C1394" s="212"/>
      <c r="D1394" s="270"/>
      <c r="E1394" s="208"/>
      <c r="F1394" s="208"/>
      <c r="G1394" s="208"/>
      <c r="H1394" s="209"/>
      <c r="I1394" s="210"/>
      <c r="J1394" s="210"/>
      <c r="K1394" s="260"/>
      <c r="L1394" s="260"/>
      <c r="M1394" s="260"/>
      <c r="N1394" s="260"/>
      <c r="O1394" s="260"/>
      <c r="P1394" s="211"/>
      <c r="Q1394" s="261"/>
      <c r="R1394" s="208" t="str">
        <f ca="1">IF(ISERROR($V1394),"",OFFSET('Smelter Look-up'!$C$4,$V1394-4,0)&amp;"")</f>
        <v/>
      </c>
      <c r="S1394" s="215" t="str">
        <f t="shared" ca="1" si="195"/>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si="196"/>
        <v>0</v>
      </c>
      <c r="Y1394" s="263"/>
      <c r="Z1394" s="263"/>
      <c r="AB1394" s="265" t="str">
        <f t="shared" si="197"/>
        <v/>
      </c>
    </row>
    <row r="1395" spans="1:28" s="264" customFormat="1" ht="20.399999999999999">
      <c r="A1395" s="207"/>
      <c r="B1395" s="208"/>
      <c r="C1395" s="212"/>
      <c r="D1395" s="270"/>
      <c r="E1395" s="208"/>
      <c r="F1395" s="208"/>
      <c r="G1395" s="208"/>
      <c r="H1395" s="209"/>
      <c r="I1395" s="210"/>
      <c r="J1395" s="210"/>
      <c r="K1395" s="260"/>
      <c r="L1395" s="260"/>
      <c r="M1395" s="260"/>
      <c r="N1395" s="260"/>
      <c r="O1395" s="260"/>
      <c r="P1395" s="211"/>
      <c r="Q1395" s="261"/>
      <c r="R1395" s="208" t="str">
        <f ca="1">IF(ISERROR($V1395),"",OFFSET('Smelter Look-up'!$C$4,$V1395-4,0)&amp;"")</f>
        <v/>
      </c>
      <c r="S1395" s="215" t="str">
        <f t="shared" ca="1" si="195"/>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si="196"/>
        <v>0</v>
      </c>
      <c r="Y1395" s="263"/>
      <c r="Z1395" s="263"/>
      <c r="AB1395" s="265" t="str">
        <f t="shared" si="197"/>
        <v/>
      </c>
    </row>
    <row r="1396" spans="1:28" s="264" customFormat="1" ht="20.399999999999999">
      <c r="A1396" s="207"/>
      <c r="B1396" s="208"/>
      <c r="C1396" s="212"/>
      <c r="D1396" s="270"/>
      <c r="E1396" s="208"/>
      <c r="F1396" s="208"/>
      <c r="G1396" s="208"/>
      <c r="H1396" s="209"/>
      <c r="I1396" s="210"/>
      <c r="J1396" s="210"/>
      <c r="K1396" s="260"/>
      <c r="L1396" s="260"/>
      <c r="M1396" s="260"/>
      <c r="N1396" s="260"/>
      <c r="O1396" s="260"/>
      <c r="P1396" s="211"/>
      <c r="Q1396" s="261"/>
      <c r="R1396" s="208" t="str">
        <f ca="1">IF(ISERROR($V1396),"",OFFSET('Smelter Look-up'!$C$4,$V1396-4,0)&amp;"")</f>
        <v/>
      </c>
      <c r="S1396" s="215" t="str">
        <f t="shared" ca="1" si="195"/>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si="196"/>
        <v>0</v>
      </c>
      <c r="Y1396" s="263"/>
      <c r="Z1396" s="263"/>
      <c r="AB1396" s="265" t="str">
        <f t="shared" si="197"/>
        <v/>
      </c>
    </row>
    <row r="1397" spans="1:28" s="264" customFormat="1" ht="20.399999999999999">
      <c r="A1397" s="207"/>
      <c r="B1397" s="208"/>
      <c r="C1397" s="212"/>
      <c r="D1397" s="270"/>
      <c r="E1397" s="208"/>
      <c r="F1397" s="208"/>
      <c r="G1397" s="208"/>
      <c r="H1397" s="209"/>
      <c r="I1397" s="210"/>
      <c r="J1397" s="210"/>
      <c r="K1397" s="260"/>
      <c r="L1397" s="260"/>
      <c r="M1397" s="260"/>
      <c r="N1397" s="260"/>
      <c r="O1397" s="260"/>
      <c r="P1397" s="211"/>
      <c r="Q1397" s="261"/>
      <c r="R1397" s="208" t="str">
        <f ca="1">IF(ISERROR($V1397),"",OFFSET('Smelter Look-up'!$C$4,$V1397-4,0)&amp;"")</f>
        <v/>
      </c>
      <c r="S1397" s="215" t="str">
        <f t="shared" ca="1" si="195"/>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si="196"/>
        <v>0</v>
      </c>
      <c r="Y1397" s="263"/>
      <c r="Z1397" s="263"/>
      <c r="AB1397" s="265" t="str">
        <f t="shared" si="197"/>
        <v/>
      </c>
    </row>
    <row r="1398" spans="1:28" s="264" customFormat="1" ht="20.399999999999999">
      <c r="A1398" s="207"/>
      <c r="B1398" s="208"/>
      <c r="C1398" s="212"/>
      <c r="D1398" s="270"/>
      <c r="E1398" s="208"/>
      <c r="F1398" s="208"/>
      <c r="G1398" s="208"/>
      <c r="H1398" s="209"/>
      <c r="I1398" s="210"/>
      <c r="J1398" s="210"/>
      <c r="K1398" s="260"/>
      <c r="L1398" s="260"/>
      <c r="M1398" s="260"/>
      <c r="N1398" s="260"/>
      <c r="O1398" s="260"/>
      <c r="P1398" s="211"/>
      <c r="Q1398" s="261"/>
      <c r="R1398" s="208" t="str">
        <f ca="1">IF(ISERROR($V1398),"",OFFSET('Smelter Look-up'!$C$4,$V1398-4,0)&amp;"")</f>
        <v/>
      </c>
      <c r="S1398" s="215" t="str">
        <f t="shared" ca="1" si="195"/>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si="196"/>
        <v>0</v>
      </c>
      <c r="Y1398" s="263"/>
      <c r="Z1398" s="263"/>
      <c r="AB1398" s="265" t="str">
        <f t="shared" si="197"/>
        <v/>
      </c>
    </row>
    <row r="1399" spans="1:28" s="264" customFormat="1" ht="20.399999999999999">
      <c r="A1399" s="207"/>
      <c r="B1399" s="208"/>
      <c r="C1399" s="212"/>
      <c r="D1399" s="270"/>
      <c r="E1399" s="208"/>
      <c r="F1399" s="208"/>
      <c r="G1399" s="208"/>
      <c r="H1399" s="209"/>
      <c r="I1399" s="210"/>
      <c r="J1399" s="210"/>
      <c r="K1399" s="260"/>
      <c r="L1399" s="260"/>
      <c r="M1399" s="260"/>
      <c r="N1399" s="260"/>
      <c r="O1399" s="260"/>
      <c r="P1399" s="211"/>
      <c r="Q1399" s="261"/>
      <c r="R1399" s="208" t="str">
        <f ca="1">IF(ISERROR($V1399),"",OFFSET('Smelter Look-up'!$C$4,$V1399-4,0)&amp;"")</f>
        <v/>
      </c>
      <c r="S1399" s="215" t="str">
        <f t="shared" ca="1" si="195"/>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si="196"/>
        <v>0</v>
      </c>
      <c r="Y1399" s="263"/>
      <c r="Z1399" s="263"/>
      <c r="AB1399" s="265" t="str">
        <f t="shared" si="197"/>
        <v/>
      </c>
    </row>
    <row r="1400" spans="1:28" s="264" customFormat="1" ht="20.399999999999999">
      <c r="A1400" s="207"/>
      <c r="B1400" s="208"/>
      <c r="C1400" s="212"/>
      <c r="D1400" s="270"/>
      <c r="E1400" s="208"/>
      <c r="F1400" s="208"/>
      <c r="G1400" s="208"/>
      <c r="H1400" s="209"/>
      <c r="I1400" s="210"/>
      <c r="J1400" s="210"/>
      <c r="K1400" s="260"/>
      <c r="L1400" s="260"/>
      <c r="M1400" s="260"/>
      <c r="N1400" s="260"/>
      <c r="O1400" s="260"/>
      <c r="P1400" s="211"/>
      <c r="Q1400" s="261"/>
      <c r="R1400" s="208" t="str">
        <f ca="1">IF(ISERROR($V1400),"",OFFSET('Smelter Look-up'!$C$4,$V1400-4,0)&amp;"")</f>
        <v/>
      </c>
      <c r="S1400" s="215" t="str">
        <f t="shared" ca="1" si="195"/>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si="196"/>
        <v>0</v>
      </c>
      <c r="Y1400" s="263"/>
      <c r="Z1400" s="263"/>
      <c r="AB1400" s="265" t="str">
        <f t="shared" si="197"/>
        <v/>
      </c>
    </row>
    <row r="1401" spans="1:28" s="264" customFormat="1" ht="20.399999999999999">
      <c r="A1401" s="207"/>
      <c r="B1401" s="208"/>
      <c r="C1401" s="212"/>
      <c r="D1401" s="270"/>
      <c r="E1401" s="208"/>
      <c r="F1401" s="208"/>
      <c r="G1401" s="208"/>
      <c r="H1401" s="209"/>
      <c r="I1401" s="210"/>
      <c r="J1401" s="210"/>
      <c r="K1401" s="260"/>
      <c r="L1401" s="260"/>
      <c r="M1401" s="260"/>
      <c r="N1401" s="260"/>
      <c r="O1401" s="260"/>
      <c r="P1401" s="211"/>
      <c r="Q1401" s="261"/>
      <c r="R1401" s="208" t="str">
        <f ca="1">IF(ISERROR($V1401),"",OFFSET('Smelter Look-up'!$C$4,$V1401-4,0)&amp;"")</f>
        <v/>
      </c>
      <c r="S1401" s="215" t="str">
        <f t="shared" ca="1" si="195"/>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si="196"/>
        <v>0</v>
      </c>
      <c r="Y1401" s="263"/>
      <c r="Z1401" s="263"/>
      <c r="AB1401" s="265" t="str">
        <f t="shared" si="197"/>
        <v/>
      </c>
    </row>
    <row r="1402" spans="1:28" s="264" customFormat="1" ht="20.399999999999999">
      <c r="A1402" s="207"/>
      <c r="B1402" s="208"/>
      <c r="C1402" s="212"/>
      <c r="D1402" s="270"/>
      <c r="E1402" s="208"/>
      <c r="F1402" s="208"/>
      <c r="G1402" s="208"/>
      <c r="H1402" s="209"/>
      <c r="I1402" s="210"/>
      <c r="J1402" s="210"/>
      <c r="K1402" s="260"/>
      <c r="L1402" s="260"/>
      <c r="M1402" s="260"/>
      <c r="N1402" s="260"/>
      <c r="O1402" s="260"/>
      <c r="P1402" s="211"/>
      <c r="Q1402" s="261"/>
      <c r="R1402" s="208" t="str">
        <f ca="1">IF(ISERROR($V1402),"",OFFSET('Smelter Look-up'!$C$4,$V1402-4,0)&amp;"")</f>
        <v/>
      </c>
      <c r="S1402" s="215" t="str">
        <f t="shared" ca="1" si="195"/>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si="196"/>
        <v>0</v>
      </c>
      <c r="Y1402" s="263"/>
      <c r="Z1402" s="263"/>
      <c r="AB1402" s="265" t="str">
        <f t="shared" si="197"/>
        <v/>
      </c>
    </row>
    <row r="1403" spans="1:28" s="264" customFormat="1" ht="20.399999999999999">
      <c r="A1403" s="207"/>
      <c r="B1403" s="208"/>
      <c r="C1403" s="212"/>
      <c r="D1403" s="270"/>
      <c r="E1403" s="208"/>
      <c r="F1403" s="208"/>
      <c r="G1403" s="208"/>
      <c r="H1403" s="209"/>
      <c r="I1403" s="210"/>
      <c r="J1403" s="210"/>
      <c r="K1403" s="260"/>
      <c r="L1403" s="260"/>
      <c r="M1403" s="260"/>
      <c r="N1403" s="260"/>
      <c r="O1403" s="260"/>
      <c r="P1403" s="211"/>
      <c r="Q1403" s="261"/>
      <c r="R1403" s="208" t="str">
        <f ca="1">IF(ISERROR($V1403),"",OFFSET('Smelter Look-up'!$C$4,$V1403-4,0)&amp;"")</f>
        <v/>
      </c>
      <c r="S1403" s="215" t="str">
        <f t="shared" ref="S1403" ca="1" si="198">IF(B1403="","",IF(ISERROR(MATCH($E1403,CL,0)),"Unknown",INDIRECT("'C'!$A$"&amp;MATCH($E1403,CL,0)+1)))</f>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ref="X1403" si="199">IF(AND(C1403="Smelter not listed",OR(LEN(D1403)=0,LEN(E1403)=0)),1,0)</f>
        <v>0</v>
      </c>
      <c r="Y1403" s="263"/>
      <c r="Z1403" s="263"/>
      <c r="AB1403" s="265" t="str">
        <f t="shared" ref="AB1403" si="200">B1403&amp;C1403</f>
        <v/>
      </c>
    </row>
    <row r="1404" spans="1:28" s="264" customFormat="1" ht="20.399999999999999">
      <c r="A1404" s="207"/>
      <c r="B1404" s="208"/>
      <c r="C1404" s="212"/>
      <c r="D1404" s="270"/>
      <c r="E1404" s="208"/>
      <c r="F1404" s="208"/>
      <c r="G1404" s="208"/>
      <c r="H1404" s="209"/>
      <c r="I1404" s="210"/>
      <c r="J1404" s="210"/>
      <c r="K1404" s="260"/>
      <c r="L1404" s="260"/>
      <c r="M1404" s="260"/>
      <c r="N1404" s="260"/>
      <c r="O1404" s="260"/>
      <c r="P1404" s="211"/>
      <c r="Q1404" s="261"/>
      <c r="R1404" s="208" t="str">
        <f ca="1">IF(ISERROR($V1404),"",OFFSET('Smelter Look-up'!$C$4,$V1404-4,0)&amp;"")</f>
        <v/>
      </c>
      <c r="S1404" s="215" t="str">
        <f t="shared" ref="S1404:S1435" ca="1" si="201">IF(B1404="","",IF(ISERROR(MATCH($E1404,CL,0)),"Unknown",INDIRECT("'C'!$A$"&amp;MATCH($E1404,CL,0)+1)))</f>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ref="X1404:X1435" si="202">IF(AND(C1404="Smelter not listed",OR(LEN(D1404)=0,LEN(E1404)=0)),1,0)</f>
        <v>0</v>
      </c>
      <c r="Y1404" s="263"/>
      <c r="Z1404" s="263"/>
      <c r="AB1404" s="265" t="str">
        <f t="shared" ref="AB1404:AB1435" si="203">B1404&amp;C1404</f>
        <v/>
      </c>
    </row>
    <row r="1405" spans="1:28" s="264" customFormat="1" ht="20.399999999999999">
      <c r="A1405" s="207"/>
      <c r="B1405" s="208"/>
      <c r="C1405" s="212"/>
      <c r="D1405" s="270"/>
      <c r="E1405" s="208"/>
      <c r="F1405" s="208"/>
      <c r="G1405" s="208"/>
      <c r="H1405" s="209"/>
      <c r="I1405" s="210"/>
      <c r="J1405" s="210"/>
      <c r="K1405" s="260"/>
      <c r="L1405" s="260"/>
      <c r="M1405" s="260"/>
      <c r="N1405" s="260"/>
      <c r="O1405" s="260"/>
      <c r="P1405" s="211"/>
      <c r="Q1405" s="261"/>
      <c r="R1405" s="208" t="str">
        <f ca="1">IF(ISERROR($V1405),"",OFFSET('Smelter Look-up'!$C$4,$V1405-4,0)&amp;"")</f>
        <v/>
      </c>
      <c r="S1405" s="215" t="str">
        <f t="shared" ca="1" si="201"/>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si="202"/>
        <v>0</v>
      </c>
      <c r="Y1405" s="263"/>
      <c r="Z1405" s="263"/>
      <c r="AB1405" s="265" t="str">
        <f t="shared" si="203"/>
        <v/>
      </c>
    </row>
    <row r="1406" spans="1:28" s="264" customFormat="1" ht="20.399999999999999">
      <c r="A1406" s="207"/>
      <c r="B1406" s="208"/>
      <c r="C1406" s="212"/>
      <c r="D1406" s="270"/>
      <c r="E1406" s="208"/>
      <c r="F1406" s="208"/>
      <c r="G1406" s="208"/>
      <c r="H1406" s="209"/>
      <c r="I1406" s="210"/>
      <c r="J1406" s="210"/>
      <c r="K1406" s="260"/>
      <c r="L1406" s="260"/>
      <c r="M1406" s="260"/>
      <c r="N1406" s="260"/>
      <c r="O1406" s="260"/>
      <c r="P1406" s="211"/>
      <c r="Q1406" s="261"/>
      <c r="R1406" s="208" t="str">
        <f ca="1">IF(ISERROR($V1406),"",OFFSET('Smelter Look-up'!$C$4,$V1406-4,0)&amp;"")</f>
        <v/>
      </c>
      <c r="S1406" s="215" t="str">
        <f t="shared" ca="1" si="201"/>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si="202"/>
        <v>0</v>
      </c>
      <c r="Y1406" s="263"/>
      <c r="Z1406" s="263"/>
      <c r="AB1406" s="265" t="str">
        <f t="shared" si="203"/>
        <v/>
      </c>
    </row>
    <row r="1407" spans="1:28" s="264" customFormat="1" ht="20.399999999999999">
      <c r="A1407" s="207"/>
      <c r="B1407" s="208"/>
      <c r="C1407" s="212"/>
      <c r="D1407" s="270"/>
      <c r="E1407" s="208"/>
      <c r="F1407" s="208"/>
      <c r="G1407" s="208"/>
      <c r="H1407" s="209"/>
      <c r="I1407" s="210"/>
      <c r="J1407" s="210"/>
      <c r="K1407" s="260"/>
      <c r="L1407" s="260"/>
      <c r="M1407" s="260"/>
      <c r="N1407" s="260"/>
      <c r="O1407" s="260"/>
      <c r="P1407" s="211"/>
      <c r="Q1407" s="261"/>
      <c r="R1407" s="208" t="str">
        <f ca="1">IF(ISERROR($V1407),"",OFFSET('Smelter Look-up'!$C$4,$V1407-4,0)&amp;"")</f>
        <v/>
      </c>
      <c r="S1407" s="215" t="str">
        <f t="shared" ca="1" si="201"/>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si="202"/>
        <v>0</v>
      </c>
      <c r="Y1407" s="263"/>
      <c r="Z1407" s="263"/>
      <c r="AB1407" s="265" t="str">
        <f t="shared" si="203"/>
        <v/>
      </c>
    </row>
    <row r="1408" spans="1:28" s="264" customFormat="1" ht="20.399999999999999">
      <c r="A1408" s="207"/>
      <c r="B1408" s="208"/>
      <c r="C1408" s="212"/>
      <c r="D1408" s="270"/>
      <c r="E1408" s="208"/>
      <c r="F1408" s="208"/>
      <c r="G1408" s="208"/>
      <c r="H1408" s="209"/>
      <c r="I1408" s="210"/>
      <c r="J1408" s="210"/>
      <c r="K1408" s="260"/>
      <c r="L1408" s="260"/>
      <c r="M1408" s="260"/>
      <c r="N1408" s="260"/>
      <c r="O1408" s="260"/>
      <c r="P1408" s="211"/>
      <c r="Q1408" s="261"/>
      <c r="R1408" s="208" t="str">
        <f ca="1">IF(ISERROR($V1408),"",OFFSET('Smelter Look-up'!$C$4,$V1408-4,0)&amp;"")</f>
        <v/>
      </c>
      <c r="S1408" s="215" t="str">
        <f t="shared" ca="1" si="201"/>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si="202"/>
        <v>0</v>
      </c>
      <c r="Y1408" s="263"/>
      <c r="Z1408" s="263"/>
      <c r="AB1408" s="265" t="str">
        <f t="shared" si="203"/>
        <v/>
      </c>
    </row>
    <row r="1409" spans="1:28" s="264" customFormat="1" ht="20.399999999999999">
      <c r="A1409" s="207"/>
      <c r="B1409" s="208"/>
      <c r="C1409" s="212"/>
      <c r="D1409" s="270"/>
      <c r="E1409" s="208"/>
      <c r="F1409" s="208"/>
      <c r="G1409" s="208"/>
      <c r="H1409" s="209"/>
      <c r="I1409" s="210"/>
      <c r="J1409" s="210"/>
      <c r="K1409" s="260"/>
      <c r="L1409" s="260"/>
      <c r="M1409" s="260"/>
      <c r="N1409" s="260"/>
      <c r="O1409" s="260"/>
      <c r="P1409" s="211"/>
      <c r="Q1409" s="261"/>
      <c r="R1409" s="208" t="str">
        <f ca="1">IF(ISERROR($V1409),"",OFFSET('Smelter Look-up'!$C$4,$V1409-4,0)&amp;"")</f>
        <v/>
      </c>
      <c r="S1409" s="215" t="str">
        <f t="shared" ca="1" si="201"/>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si="202"/>
        <v>0</v>
      </c>
      <c r="Y1409" s="263"/>
      <c r="Z1409" s="263"/>
      <c r="AB1409" s="265" t="str">
        <f t="shared" si="203"/>
        <v/>
      </c>
    </row>
    <row r="1410" spans="1:28" s="264" customFormat="1" ht="20.399999999999999">
      <c r="A1410" s="207"/>
      <c r="B1410" s="208"/>
      <c r="C1410" s="212"/>
      <c r="D1410" s="270"/>
      <c r="E1410" s="208"/>
      <c r="F1410" s="208"/>
      <c r="G1410" s="208"/>
      <c r="H1410" s="209"/>
      <c r="I1410" s="210"/>
      <c r="J1410" s="210"/>
      <c r="K1410" s="260"/>
      <c r="L1410" s="260"/>
      <c r="M1410" s="260"/>
      <c r="N1410" s="260"/>
      <c r="O1410" s="260"/>
      <c r="P1410" s="211"/>
      <c r="Q1410" s="261"/>
      <c r="R1410" s="208" t="str">
        <f ca="1">IF(ISERROR($V1410),"",OFFSET('Smelter Look-up'!$C$4,$V1410-4,0)&amp;"")</f>
        <v/>
      </c>
      <c r="S1410" s="215" t="str">
        <f t="shared" ca="1" si="201"/>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si="202"/>
        <v>0</v>
      </c>
      <c r="Y1410" s="263"/>
      <c r="Z1410" s="263"/>
      <c r="AB1410" s="265" t="str">
        <f t="shared" si="203"/>
        <v/>
      </c>
    </row>
    <row r="1411" spans="1:28" s="264" customFormat="1" ht="20.399999999999999">
      <c r="A1411" s="207"/>
      <c r="B1411" s="208"/>
      <c r="C1411" s="212"/>
      <c r="D1411" s="270"/>
      <c r="E1411" s="208"/>
      <c r="F1411" s="208"/>
      <c r="G1411" s="208"/>
      <c r="H1411" s="209"/>
      <c r="I1411" s="210"/>
      <c r="J1411" s="210"/>
      <c r="K1411" s="260"/>
      <c r="L1411" s="260"/>
      <c r="M1411" s="260"/>
      <c r="N1411" s="260"/>
      <c r="O1411" s="260"/>
      <c r="P1411" s="211"/>
      <c r="Q1411" s="261"/>
      <c r="R1411" s="208" t="str">
        <f ca="1">IF(ISERROR($V1411),"",OFFSET('Smelter Look-up'!$C$4,$V1411-4,0)&amp;"")</f>
        <v/>
      </c>
      <c r="S1411" s="215" t="str">
        <f t="shared" ca="1" si="201"/>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si="202"/>
        <v>0</v>
      </c>
      <c r="Y1411" s="263"/>
      <c r="Z1411" s="263"/>
      <c r="AB1411" s="265" t="str">
        <f t="shared" si="203"/>
        <v/>
      </c>
    </row>
    <row r="1412" spans="1:28" s="264" customFormat="1" ht="20.399999999999999">
      <c r="A1412" s="207"/>
      <c r="B1412" s="208"/>
      <c r="C1412" s="212"/>
      <c r="D1412" s="270"/>
      <c r="E1412" s="208"/>
      <c r="F1412" s="208"/>
      <c r="G1412" s="208"/>
      <c r="H1412" s="209"/>
      <c r="I1412" s="210"/>
      <c r="J1412" s="210"/>
      <c r="K1412" s="260"/>
      <c r="L1412" s="260"/>
      <c r="M1412" s="260"/>
      <c r="N1412" s="260"/>
      <c r="O1412" s="260"/>
      <c r="P1412" s="211"/>
      <c r="Q1412" s="261"/>
      <c r="R1412" s="208" t="str">
        <f ca="1">IF(ISERROR($V1412),"",OFFSET('Smelter Look-up'!$C$4,$V1412-4,0)&amp;"")</f>
        <v/>
      </c>
      <c r="S1412" s="215" t="str">
        <f t="shared" ca="1" si="201"/>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si="202"/>
        <v>0</v>
      </c>
      <c r="Y1412" s="263"/>
      <c r="Z1412" s="263"/>
      <c r="AB1412" s="265" t="str">
        <f t="shared" si="203"/>
        <v/>
      </c>
    </row>
    <row r="1413" spans="1:28" s="264" customFormat="1" ht="20.399999999999999">
      <c r="A1413" s="207"/>
      <c r="B1413" s="208"/>
      <c r="C1413" s="212"/>
      <c r="D1413" s="270"/>
      <c r="E1413" s="208"/>
      <c r="F1413" s="208"/>
      <c r="G1413" s="208"/>
      <c r="H1413" s="209"/>
      <c r="I1413" s="210"/>
      <c r="J1413" s="210"/>
      <c r="K1413" s="260"/>
      <c r="L1413" s="260"/>
      <c r="M1413" s="260"/>
      <c r="N1413" s="260"/>
      <c r="O1413" s="260"/>
      <c r="P1413" s="211"/>
      <c r="Q1413" s="261"/>
      <c r="R1413" s="208" t="str">
        <f ca="1">IF(ISERROR($V1413),"",OFFSET('Smelter Look-up'!$C$4,$V1413-4,0)&amp;"")</f>
        <v/>
      </c>
      <c r="S1413" s="215" t="str">
        <f t="shared" ca="1" si="201"/>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si="202"/>
        <v>0</v>
      </c>
      <c r="Y1413" s="263"/>
      <c r="Z1413" s="263"/>
      <c r="AB1413" s="265" t="str">
        <f t="shared" si="203"/>
        <v/>
      </c>
    </row>
    <row r="1414" spans="1:28" s="264" customFormat="1" ht="20.399999999999999">
      <c r="A1414" s="207"/>
      <c r="B1414" s="208"/>
      <c r="C1414" s="212"/>
      <c r="D1414" s="270"/>
      <c r="E1414" s="208"/>
      <c r="F1414" s="208"/>
      <c r="G1414" s="208"/>
      <c r="H1414" s="209"/>
      <c r="I1414" s="210"/>
      <c r="J1414" s="210"/>
      <c r="K1414" s="260"/>
      <c r="L1414" s="260"/>
      <c r="M1414" s="260"/>
      <c r="N1414" s="260"/>
      <c r="O1414" s="260"/>
      <c r="P1414" s="211"/>
      <c r="Q1414" s="261"/>
      <c r="R1414" s="208" t="str">
        <f ca="1">IF(ISERROR($V1414),"",OFFSET('Smelter Look-up'!$C$4,$V1414-4,0)&amp;"")</f>
        <v/>
      </c>
      <c r="S1414" s="215" t="str">
        <f t="shared" ca="1" si="201"/>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si="202"/>
        <v>0</v>
      </c>
      <c r="Y1414" s="263"/>
      <c r="Z1414" s="263"/>
      <c r="AB1414" s="265" t="str">
        <f t="shared" si="203"/>
        <v/>
      </c>
    </row>
    <row r="1415" spans="1:28" s="264" customFormat="1" ht="20.399999999999999">
      <c r="A1415" s="207"/>
      <c r="B1415" s="208"/>
      <c r="C1415" s="212"/>
      <c r="D1415" s="270"/>
      <c r="E1415" s="208"/>
      <c r="F1415" s="208"/>
      <c r="G1415" s="208"/>
      <c r="H1415" s="209"/>
      <c r="I1415" s="210"/>
      <c r="J1415" s="210"/>
      <c r="K1415" s="260"/>
      <c r="L1415" s="260"/>
      <c r="M1415" s="260"/>
      <c r="N1415" s="260"/>
      <c r="O1415" s="260"/>
      <c r="P1415" s="211"/>
      <c r="Q1415" s="261"/>
      <c r="R1415" s="208" t="str">
        <f ca="1">IF(ISERROR($V1415),"",OFFSET('Smelter Look-up'!$C$4,$V1415-4,0)&amp;"")</f>
        <v/>
      </c>
      <c r="S1415" s="215" t="str">
        <f t="shared" ca="1" si="201"/>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si="202"/>
        <v>0</v>
      </c>
      <c r="Y1415" s="263"/>
      <c r="Z1415" s="263"/>
      <c r="AB1415" s="265" t="str">
        <f t="shared" si="203"/>
        <v/>
      </c>
    </row>
    <row r="1416" spans="1:28" s="264" customFormat="1" ht="20.399999999999999">
      <c r="A1416" s="207"/>
      <c r="B1416" s="208"/>
      <c r="C1416" s="212"/>
      <c r="D1416" s="270"/>
      <c r="E1416" s="208"/>
      <c r="F1416" s="208"/>
      <c r="G1416" s="208"/>
      <c r="H1416" s="209"/>
      <c r="I1416" s="210"/>
      <c r="J1416" s="210"/>
      <c r="K1416" s="260"/>
      <c r="L1416" s="260"/>
      <c r="M1416" s="260"/>
      <c r="N1416" s="260"/>
      <c r="O1416" s="260"/>
      <c r="P1416" s="211"/>
      <c r="Q1416" s="261"/>
      <c r="R1416" s="208" t="str">
        <f ca="1">IF(ISERROR($V1416),"",OFFSET('Smelter Look-up'!$C$4,$V1416-4,0)&amp;"")</f>
        <v/>
      </c>
      <c r="S1416" s="215" t="str">
        <f t="shared" ca="1" si="201"/>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si="202"/>
        <v>0</v>
      </c>
      <c r="Y1416" s="263"/>
      <c r="Z1416" s="263"/>
      <c r="AB1416" s="265" t="str">
        <f t="shared" si="203"/>
        <v/>
      </c>
    </row>
    <row r="1417" spans="1:28" s="264" customFormat="1" ht="20.399999999999999">
      <c r="A1417" s="207"/>
      <c r="B1417" s="208"/>
      <c r="C1417" s="212"/>
      <c r="D1417" s="270"/>
      <c r="E1417" s="208"/>
      <c r="F1417" s="208"/>
      <c r="G1417" s="208"/>
      <c r="H1417" s="209"/>
      <c r="I1417" s="210"/>
      <c r="J1417" s="210"/>
      <c r="K1417" s="260"/>
      <c r="L1417" s="260"/>
      <c r="M1417" s="260"/>
      <c r="N1417" s="260"/>
      <c r="O1417" s="260"/>
      <c r="P1417" s="211"/>
      <c r="Q1417" s="261"/>
      <c r="R1417" s="208" t="str">
        <f ca="1">IF(ISERROR($V1417),"",OFFSET('Smelter Look-up'!$C$4,$V1417-4,0)&amp;"")</f>
        <v/>
      </c>
      <c r="S1417" s="215" t="str">
        <f t="shared" ca="1" si="201"/>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si="202"/>
        <v>0</v>
      </c>
      <c r="Y1417" s="263"/>
      <c r="Z1417" s="263"/>
      <c r="AB1417" s="265" t="str">
        <f t="shared" si="203"/>
        <v/>
      </c>
    </row>
    <row r="1418" spans="1:28" s="264" customFormat="1" ht="20.399999999999999">
      <c r="A1418" s="207"/>
      <c r="B1418" s="208"/>
      <c r="C1418" s="212"/>
      <c r="D1418" s="270"/>
      <c r="E1418" s="208"/>
      <c r="F1418" s="208"/>
      <c r="G1418" s="208"/>
      <c r="H1418" s="209"/>
      <c r="I1418" s="210"/>
      <c r="J1418" s="210"/>
      <c r="K1418" s="260"/>
      <c r="L1418" s="260"/>
      <c r="M1418" s="260"/>
      <c r="N1418" s="260"/>
      <c r="O1418" s="260"/>
      <c r="P1418" s="211"/>
      <c r="Q1418" s="261"/>
      <c r="R1418" s="208" t="str">
        <f ca="1">IF(ISERROR($V1418),"",OFFSET('Smelter Look-up'!$C$4,$V1418-4,0)&amp;"")</f>
        <v/>
      </c>
      <c r="S1418" s="215" t="str">
        <f t="shared" ca="1" si="201"/>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si="202"/>
        <v>0</v>
      </c>
      <c r="Y1418" s="263"/>
      <c r="Z1418" s="263"/>
      <c r="AB1418" s="265" t="str">
        <f t="shared" si="203"/>
        <v/>
      </c>
    </row>
    <row r="1419" spans="1:28" s="264" customFormat="1" ht="20.399999999999999">
      <c r="A1419" s="207"/>
      <c r="B1419" s="208"/>
      <c r="C1419" s="212"/>
      <c r="D1419" s="270"/>
      <c r="E1419" s="208"/>
      <c r="F1419" s="208"/>
      <c r="G1419" s="208"/>
      <c r="H1419" s="209"/>
      <c r="I1419" s="210"/>
      <c r="J1419" s="210"/>
      <c r="K1419" s="260"/>
      <c r="L1419" s="260"/>
      <c r="M1419" s="260"/>
      <c r="N1419" s="260"/>
      <c r="O1419" s="260"/>
      <c r="P1419" s="211"/>
      <c r="Q1419" s="261"/>
      <c r="R1419" s="208" t="str">
        <f ca="1">IF(ISERROR($V1419),"",OFFSET('Smelter Look-up'!$C$4,$V1419-4,0)&amp;"")</f>
        <v/>
      </c>
      <c r="S1419" s="215" t="str">
        <f t="shared" ca="1" si="201"/>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si="202"/>
        <v>0</v>
      </c>
      <c r="Y1419" s="263"/>
      <c r="Z1419" s="263"/>
      <c r="AB1419" s="265" t="str">
        <f t="shared" si="203"/>
        <v/>
      </c>
    </row>
    <row r="1420" spans="1:28" s="264" customFormat="1" ht="20.399999999999999">
      <c r="A1420" s="207"/>
      <c r="B1420" s="208"/>
      <c r="C1420" s="212"/>
      <c r="D1420" s="270"/>
      <c r="E1420" s="208"/>
      <c r="F1420" s="208"/>
      <c r="G1420" s="208"/>
      <c r="H1420" s="209"/>
      <c r="I1420" s="210"/>
      <c r="J1420" s="210"/>
      <c r="K1420" s="260"/>
      <c r="L1420" s="260"/>
      <c r="M1420" s="260"/>
      <c r="N1420" s="260"/>
      <c r="O1420" s="260"/>
      <c r="P1420" s="211"/>
      <c r="Q1420" s="261"/>
      <c r="R1420" s="208" t="str">
        <f ca="1">IF(ISERROR($V1420),"",OFFSET('Smelter Look-up'!$C$4,$V1420-4,0)&amp;"")</f>
        <v/>
      </c>
      <c r="S1420" s="215" t="str">
        <f t="shared" ca="1" si="201"/>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si="202"/>
        <v>0</v>
      </c>
      <c r="Y1420" s="263"/>
      <c r="Z1420" s="263"/>
      <c r="AB1420" s="265" t="str">
        <f t="shared" si="203"/>
        <v/>
      </c>
    </row>
    <row r="1421" spans="1:28" s="264" customFormat="1" ht="20.399999999999999">
      <c r="A1421" s="207"/>
      <c r="B1421" s="208"/>
      <c r="C1421" s="212"/>
      <c r="D1421" s="270"/>
      <c r="E1421" s="208"/>
      <c r="F1421" s="208"/>
      <c r="G1421" s="208"/>
      <c r="H1421" s="209"/>
      <c r="I1421" s="210"/>
      <c r="J1421" s="210"/>
      <c r="K1421" s="260"/>
      <c r="L1421" s="260"/>
      <c r="M1421" s="260"/>
      <c r="N1421" s="260"/>
      <c r="O1421" s="260"/>
      <c r="P1421" s="211"/>
      <c r="Q1421" s="261"/>
      <c r="R1421" s="208" t="str">
        <f ca="1">IF(ISERROR($V1421),"",OFFSET('Smelter Look-up'!$C$4,$V1421-4,0)&amp;"")</f>
        <v/>
      </c>
      <c r="S1421" s="215" t="str">
        <f t="shared" ca="1" si="201"/>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si="202"/>
        <v>0</v>
      </c>
      <c r="Y1421" s="263"/>
      <c r="Z1421" s="263"/>
      <c r="AB1421" s="265" t="str">
        <f t="shared" si="203"/>
        <v/>
      </c>
    </row>
    <row r="1422" spans="1:28" s="264" customFormat="1" ht="20.399999999999999">
      <c r="A1422" s="207"/>
      <c r="B1422" s="208"/>
      <c r="C1422" s="212"/>
      <c r="D1422" s="270"/>
      <c r="E1422" s="208"/>
      <c r="F1422" s="208"/>
      <c r="G1422" s="208"/>
      <c r="H1422" s="209"/>
      <c r="I1422" s="210"/>
      <c r="J1422" s="210"/>
      <c r="K1422" s="260"/>
      <c r="L1422" s="260"/>
      <c r="M1422" s="260"/>
      <c r="N1422" s="260"/>
      <c r="O1422" s="260"/>
      <c r="P1422" s="211"/>
      <c r="Q1422" s="261"/>
      <c r="R1422" s="208" t="str">
        <f ca="1">IF(ISERROR($V1422),"",OFFSET('Smelter Look-up'!$C$4,$V1422-4,0)&amp;"")</f>
        <v/>
      </c>
      <c r="S1422" s="215" t="str">
        <f t="shared" ca="1" si="201"/>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si="202"/>
        <v>0</v>
      </c>
      <c r="Y1422" s="263"/>
      <c r="Z1422" s="263"/>
      <c r="AB1422" s="265" t="str">
        <f t="shared" si="203"/>
        <v/>
      </c>
    </row>
    <row r="1423" spans="1:28" s="264" customFormat="1" ht="20.399999999999999">
      <c r="A1423" s="207"/>
      <c r="B1423" s="208"/>
      <c r="C1423" s="212"/>
      <c r="D1423" s="270"/>
      <c r="E1423" s="208"/>
      <c r="F1423" s="208"/>
      <c r="G1423" s="208"/>
      <c r="H1423" s="209"/>
      <c r="I1423" s="210"/>
      <c r="J1423" s="210"/>
      <c r="K1423" s="260"/>
      <c r="L1423" s="260"/>
      <c r="M1423" s="260"/>
      <c r="N1423" s="260"/>
      <c r="O1423" s="260"/>
      <c r="P1423" s="211"/>
      <c r="Q1423" s="261"/>
      <c r="R1423" s="208" t="str">
        <f ca="1">IF(ISERROR($V1423),"",OFFSET('Smelter Look-up'!$C$4,$V1423-4,0)&amp;"")</f>
        <v/>
      </c>
      <c r="S1423" s="215" t="str">
        <f t="shared" ca="1" si="201"/>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si="202"/>
        <v>0</v>
      </c>
      <c r="Y1423" s="263"/>
      <c r="Z1423" s="263"/>
      <c r="AB1423" s="265" t="str">
        <f t="shared" si="203"/>
        <v/>
      </c>
    </row>
    <row r="1424" spans="1:28" s="264" customFormat="1" ht="20.399999999999999">
      <c r="A1424" s="207"/>
      <c r="B1424" s="208"/>
      <c r="C1424" s="212"/>
      <c r="D1424" s="270"/>
      <c r="E1424" s="208"/>
      <c r="F1424" s="208"/>
      <c r="G1424" s="208"/>
      <c r="H1424" s="209"/>
      <c r="I1424" s="210"/>
      <c r="J1424" s="210"/>
      <c r="K1424" s="260"/>
      <c r="L1424" s="260"/>
      <c r="M1424" s="260"/>
      <c r="N1424" s="260"/>
      <c r="O1424" s="260"/>
      <c r="P1424" s="211"/>
      <c r="Q1424" s="261"/>
      <c r="R1424" s="208" t="str">
        <f ca="1">IF(ISERROR($V1424),"",OFFSET('Smelter Look-up'!$C$4,$V1424-4,0)&amp;"")</f>
        <v/>
      </c>
      <c r="S1424" s="215" t="str">
        <f t="shared" ca="1" si="201"/>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si="202"/>
        <v>0</v>
      </c>
      <c r="Y1424" s="263"/>
      <c r="Z1424" s="263"/>
      <c r="AB1424" s="265" t="str">
        <f t="shared" si="203"/>
        <v/>
      </c>
    </row>
    <row r="1425" spans="1:28" s="264" customFormat="1" ht="20.399999999999999">
      <c r="A1425" s="207"/>
      <c r="B1425" s="208"/>
      <c r="C1425" s="212"/>
      <c r="D1425" s="270"/>
      <c r="E1425" s="208"/>
      <c r="F1425" s="208"/>
      <c r="G1425" s="208"/>
      <c r="H1425" s="209"/>
      <c r="I1425" s="210"/>
      <c r="J1425" s="210"/>
      <c r="K1425" s="260"/>
      <c r="L1425" s="260"/>
      <c r="M1425" s="260"/>
      <c r="N1425" s="260"/>
      <c r="O1425" s="260"/>
      <c r="P1425" s="211"/>
      <c r="Q1425" s="261"/>
      <c r="R1425" s="208" t="str">
        <f ca="1">IF(ISERROR($V1425),"",OFFSET('Smelter Look-up'!$C$4,$V1425-4,0)&amp;"")</f>
        <v/>
      </c>
      <c r="S1425" s="215" t="str">
        <f t="shared" ca="1" si="201"/>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si="202"/>
        <v>0</v>
      </c>
      <c r="Y1425" s="263"/>
      <c r="Z1425" s="263"/>
      <c r="AB1425" s="265" t="str">
        <f t="shared" si="203"/>
        <v/>
      </c>
    </row>
    <row r="1426" spans="1:28" s="264" customFormat="1" ht="20.399999999999999">
      <c r="A1426" s="207"/>
      <c r="B1426" s="208"/>
      <c r="C1426" s="212"/>
      <c r="D1426" s="270"/>
      <c r="E1426" s="208"/>
      <c r="F1426" s="208"/>
      <c r="G1426" s="208"/>
      <c r="H1426" s="209"/>
      <c r="I1426" s="210"/>
      <c r="J1426" s="210"/>
      <c r="K1426" s="260"/>
      <c r="L1426" s="260"/>
      <c r="M1426" s="260"/>
      <c r="N1426" s="260"/>
      <c r="O1426" s="260"/>
      <c r="P1426" s="211"/>
      <c r="Q1426" s="261"/>
      <c r="R1426" s="208" t="str">
        <f ca="1">IF(ISERROR($V1426),"",OFFSET('Smelter Look-up'!$C$4,$V1426-4,0)&amp;"")</f>
        <v/>
      </c>
      <c r="S1426" s="215" t="str">
        <f t="shared" ca="1" si="201"/>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si="202"/>
        <v>0</v>
      </c>
      <c r="Y1426" s="263"/>
      <c r="Z1426" s="263"/>
      <c r="AB1426" s="265" t="str">
        <f t="shared" si="203"/>
        <v/>
      </c>
    </row>
    <row r="1427" spans="1:28" s="264" customFormat="1" ht="20.399999999999999">
      <c r="A1427" s="207"/>
      <c r="B1427" s="208"/>
      <c r="C1427" s="212"/>
      <c r="D1427" s="270"/>
      <c r="E1427" s="208"/>
      <c r="F1427" s="208"/>
      <c r="G1427" s="208"/>
      <c r="H1427" s="209"/>
      <c r="I1427" s="210"/>
      <c r="J1427" s="210"/>
      <c r="K1427" s="260"/>
      <c r="L1427" s="260"/>
      <c r="M1427" s="260"/>
      <c r="N1427" s="260"/>
      <c r="O1427" s="260"/>
      <c r="P1427" s="211"/>
      <c r="Q1427" s="261"/>
      <c r="R1427" s="208" t="str">
        <f ca="1">IF(ISERROR($V1427),"",OFFSET('Smelter Look-up'!$C$4,$V1427-4,0)&amp;"")</f>
        <v/>
      </c>
      <c r="S1427" s="215" t="str">
        <f t="shared" ca="1" si="201"/>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si="202"/>
        <v>0</v>
      </c>
      <c r="Y1427" s="263"/>
      <c r="Z1427" s="263"/>
      <c r="AB1427" s="265" t="str">
        <f t="shared" si="203"/>
        <v/>
      </c>
    </row>
    <row r="1428" spans="1:28" s="264" customFormat="1" ht="20.399999999999999">
      <c r="A1428" s="207"/>
      <c r="B1428" s="208"/>
      <c r="C1428" s="212"/>
      <c r="D1428" s="270"/>
      <c r="E1428" s="208"/>
      <c r="F1428" s="208"/>
      <c r="G1428" s="208"/>
      <c r="H1428" s="209"/>
      <c r="I1428" s="210"/>
      <c r="J1428" s="210"/>
      <c r="K1428" s="260"/>
      <c r="L1428" s="260"/>
      <c r="M1428" s="260"/>
      <c r="N1428" s="260"/>
      <c r="O1428" s="260"/>
      <c r="P1428" s="211"/>
      <c r="Q1428" s="261"/>
      <c r="R1428" s="208" t="str">
        <f ca="1">IF(ISERROR($V1428),"",OFFSET('Smelter Look-up'!$C$4,$V1428-4,0)&amp;"")</f>
        <v/>
      </c>
      <c r="S1428" s="215" t="str">
        <f t="shared" ca="1" si="201"/>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si="202"/>
        <v>0</v>
      </c>
      <c r="Y1428" s="263"/>
      <c r="Z1428" s="263"/>
      <c r="AB1428" s="265" t="str">
        <f t="shared" si="203"/>
        <v/>
      </c>
    </row>
    <row r="1429" spans="1:28" s="264" customFormat="1" ht="20.399999999999999">
      <c r="A1429" s="207"/>
      <c r="B1429" s="208"/>
      <c r="C1429" s="212"/>
      <c r="D1429" s="270"/>
      <c r="E1429" s="208"/>
      <c r="F1429" s="208"/>
      <c r="G1429" s="208"/>
      <c r="H1429" s="209"/>
      <c r="I1429" s="210"/>
      <c r="J1429" s="210"/>
      <c r="K1429" s="260"/>
      <c r="L1429" s="260"/>
      <c r="M1429" s="260"/>
      <c r="N1429" s="260"/>
      <c r="O1429" s="260"/>
      <c r="P1429" s="211"/>
      <c r="Q1429" s="261"/>
      <c r="R1429" s="208" t="str">
        <f ca="1">IF(ISERROR($V1429),"",OFFSET('Smelter Look-up'!$C$4,$V1429-4,0)&amp;"")</f>
        <v/>
      </c>
      <c r="S1429" s="215" t="str">
        <f t="shared" ca="1" si="201"/>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si="202"/>
        <v>0</v>
      </c>
      <c r="Y1429" s="263"/>
      <c r="Z1429" s="263"/>
      <c r="AB1429" s="265" t="str">
        <f t="shared" si="203"/>
        <v/>
      </c>
    </row>
    <row r="1430" spans="1:28" s="264" customFormat="1" ht="20.399999999999999">
      <c r="A1430" s="207"/>
      <c r="B1430" s="208"/>
      <c r="C1430" s="212"/>
      <c r="D1430" s="270"/>
      <c r="E1430" s="208"/>
      <c r="F1430" s="208"/>
      <c r="G1430" s="208"/>
      <c r="H1430" s="209"/>
      <c r="I1430" s="210"/>
      <c r="J1430" s="210"/>
      <c r="K1430" s="260"/>
      <c r="L1430" s="260"/>
      <c r="M1430" s="260"/>
      <c r="N1430" s="260"/>
      <c r="O1430" s="260"/>
      <c r="P1430" s="211"/>
      <c r="Q1430" s="261"/>
      <c r="R1430" s="208" t="str">
        <f ca="1">IF(ISERROR($V1430),"",OFFSET('Smelter Look-up'!$C$4,$V1430-4,0)&amp;"")</f>
        <v/>
      </c>
      <c r="S1430" s="215" t="str">
        <f t="shared" ca="1" si="201"/>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si="202"/>
        <v>0</v>
      </c>
      <c r="Y1430" s="263"/>
      <c r="Z1430" s="263"/>
      <c r="AB1430" s="265" t="str">
        <f t="shared" si="203"/>
        <v/>
      </c>
    </row>
    <row r="1431" spans="1:28" s="264" customFormat="1" ht="20.399999999999999">
      <c r="A1431" s="207"/>
      <c r="B1431" s="208"/>
      <c r="C1431" s="212"/>
      <c r="D1431" s="270"/>
      <c r="E1431" s="208"/>
      <c r="F1431" s="208"/>
      <c r="G1431" s="208"/>
      <c r="H1431" s="209"/>
      <c r="I1431" s="210"/>
      <c r="J1431" s="210"/>
      <c r="K1431" s="260"/>
      <c r="L1431" s="260"/>
      <c r="M1431" s="260"/>
      <c r="N1431" s="260"/>
      <c r="O1431" s="260"/>
      <c r="P1431" s="211"/>
      <c r="Q1431" s="261"/>
      <c r="R1431" s="208" t="str">
        <f ca="1">IF(ISERROR($V1431),"",OFFSET('Smelter Look-up'!$C$4,$V1431-4,0)&amp;"")</f>
        <v/>
      </c>
      <c r="S1431" s="215" t="str">
        <f t="shared" ca="1" si="201"/>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si="202"/>
        <v>0</v>
      </c>
      <c r="Y1431" s="263"/>
      <c r="Z1431" s="263"/>
      <c r="AB1431" s="265" t="str">
        <f t="shared" si="203"/>
        <v/>
      </c>
    </row>
    <row r="1432" spans="1:28" s="264" customFormat="1" ht="20.399999999999999">
      <c r="A1432" s="207"/>
      <c r="B1432" s="208"/>
      <c r="C1432" s="212"/>
      <c r="D1432" s="270"/>
      <c r="E1432" s="208"/>
      <c r="F1432" s="208"/>
      <c r="G1432" s="208"/>
      <c r="H1432" s="209"/>
      <c r="I1432" s="210"/>
      <c r="J1432" s="210"/>
      <c r="K1432" s="260"/>
      <c r="L1432" s="260"/>
      <c r="M1432" s="260"/>
      <c r="N1432" s="260"/>
      <c r="O1432" s="260"/>
      <c r="P1432" s="211"/>
      <c r="Q1432" s="261"/>
      <c r="R1432" s="208" t="str">
        <f ca="1">IF(ISERROR($V1432),"",OFFSET('Smelter Look-up'!$C$4,$V1432-4,0)&amp;"")</f>
        <v/>
      </c>
      <c r="S1432" s="215" t="str">
        <f t="shared" ca="1" si="201"/>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si="202"/>
        <v>0</v>
      </c>
      <c r="Y1432" s="263"/>
      <c r="Z1432" s="263"/>
      <c r="AB1432" s="265" t="str">
        <f t="shared" si="203"/>
        <v/>
      </c>
    </row>
    <row r="1433" spans="1:28" s="264" customFormat="1" ht="20.399999999999999">
      <c r="A1433" s="207"/>
      <c r="B1433" s="208"/>
      <c r="C1433" s="212"/>
      <c r="D1433" s="270"/>
      <c r="E1433" s="208"/>
      <c r="F1433" s="208"/>
      <c r="G1433" s="208"/>
      <c r="H1433" s="209"/>
      <c r="I1433" s="210"/>
      <c r="J1433" s="210"/>
      <c r="K1433" s="260"/>
      <c r="L1433" s="260"/>
      <c r="M1433" s="260"/>
      <c r="N1433" s="260"/>
      <c r="O1433" s="260"/>
      <c r="P1433" s="211"/>
      <c r="Q1433" s="261"/>
      <c r="R1433" s="208" t="str">
        <f ca="1">IF(ISERROR($V1433),"",OFFSET('Smelter Look-up'!$C$4,$V1433-4,0)&amp;"")</f>
        <v/>
      </c>
      <c r="S1433" s="215" t="str">
        <f t="shared" ca="1" si="201"/>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si="202"/>
        <v>0</v>
      </c>
      <c r="Y1433" s="263"/>
      <c r="Z1433" s="263"/>
      <c r="AB1433" s="265" t="str">
        <f t="shared" si="203"/>
        <v/>
      </c>
    </row>
    <row r="1434" spans="1:28" s="264" customFormat="1" ht="20.399999999999999">
      <c r="A1434" s="207"/>
      <c r="B1434" s="208"/>
      <c r="C1434" s="212"/>
      <c r="D1434" s="270"/>
      <c r="E1434" s="208"/>
      <c r="F1434" s="208"/>
      <c r="G1434" s="208"/>
      <c r="H1434" s="209"/>
      <c r="I1434" s="210"/>
      <c r="J1434" s="210"/>
      <c r="K1434" s="260"/>
      <c r="L1434" s="260"/>
      <c r="M1434" s="260"/>
      <c r="N1434" s="260"/>
      <c r="O1434" s="260"/>
      <c r="P1434" s="211"/>
      <c r="Q1434" s="261"/>
      <c r="R1434" s="208" t="str">
        <f ca="1">IF(ISERROR($V1434),"",OFFSET('Smelter Look-up'!$C$4,$V1434-4,0)&amp;"")</f>
        <v/>
      </c>
      <c r="S1434" s="215" t="str">
        <f t="shared" ca="1" si="201"/>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si="202"/>
        <v>0</v>
      </c>
      <c r="Y1434" s="263"/>
      <c r="Z1434" s="263"/>
      <c r="AB1434" s="265" t="str">
        <f t="shared" si="203"/>
        <v/>
      </c>
    </row>
    <row r="1435" spans="1:28" s="264" customFormat="1" ht="20.399999999999999">
      <c r="A1435" s="207"/>
      <c r="B1435" s="208"/>
      <c r="C1435" s="212"/>
      <c r="D1435" s="270"/>
      <c r="E1435" s="208"/>
      <c r="F1435" s="208"/>
      <c r="G1435" s="208"/>
      <c r="H1435" s="209"/>
      <c r="I1435" s="210"/>
      <c r="J1435" s="210"/>
      <c r="K1435" s="260"/>
      <c r="L1435" s="260"/>
      <c r="M1435" s="260"/>
      <c r="N1435" s="260"/>
      <c r="O1435" s="260"/>
      <c r="P1435" s="211"/>
      <c r="Q1435" s="261"/>
      <c r="R1435" s="208" t="str">
        <f ca="1">IF(ISERROR($V1435),"",OFFSET('Smelter Look-up'!$C$4,$V1435-4,0)&amp;"")</f>
        <v/>
      </c>
      <c r="S1435" s="215" t="str">
        <f t="shared" ca="1" si="201"/>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si="202"/>
        <v>0</v>
      </c>
      <c r="Y1435" s="263"/>
      <c r="Z1435" s="263"/>
      <c r="AB1435" s="265" t="str">
        <f t="shared" si="203"/>
        <v/>
      </c>
    </row>
    <row r="1436" spans="1:28" s="264" customFormat="1" ht="20.399999999999999">
      <c r="A1436" s="207"/>
      <c r="B1436" s="208"/>
      <c r="C1436" s="212"/>
      <c r="D1436" s="270"/>
      <c r="E1436" s="208"/>
      <c r="F1436" s="208"/>
      <c r="G1436" s="208"/>
      <c r="H1436" s="209"/>
      <c r="I1436" s="210"/>
      <c r="J1436" s="210"/>
      <c r="K1436" s="260"/>
      <c r="L1436" s="260"/>
      <c r="M1436" s="260"/>
      <c r="N1436" s="260"/>
      <c r="O1436" s="260"/>
      <c r="P1436" s="211"/>
      <c r="Q1436" s="261"/>
      <c r="R1436" s="208" t="str">
        <f ca="1">IF(ISERROR($V1436),"",OFFSET('Smelter Look-up'!$C$4,$V1436-4,0)&amp;"")</f>
        <v/>
      </c>
      <c r="S1436" s="215" t="str">
        <f t="shared" ref="S1436:S1466" ca="1" si="204">IF(B1436="","",IF(ISERROR(MATCH($E1436,CL,0)),"Unknown",INDIRECT("'C'!$A$"&amp;MATCH($E1436,CL,0)+1)))</f>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ref="X1436:X1466" si="205">IF(AND(C1436="Smelter not listed",OR(LEN(D1436)=0,LEN(E1436)=0)),1,0)</f>
        <v>0</v>
      </c>
      <c r="Y1436" s="263"/>
      <c r="Z1436" s="263"/>
      <c r="AB1436" s="265" t="str">
        <f t="shared" ref="AB1436:AB1466" si="206">B1436&amp;C1436</f>
        <v/>
      </c>
    </row>
    <row r="1437" spans="1:28" s="264" customFormat="1" ht="20.399999999999999">
      <c r="A1437" s="207"/>
      <c r="B1437" s="208"/>
      <c r="C1437" s="212"/>
      <c r="D1437" s="270"/>
      <c r="E1437" s="208"/>
      <c r="F1437" s="208"/>
      <c r="G1437" s="208"/>
      <c r="H1437" s="209"/>
      <c r="I1437" s="210"/>
      <c r="J1437" s="210"/>
      <c r="K1437" s="260"/>
      <c r="L1437" s="260"/>
      <c r="M1437" s="260"/>
      <c r="N1437" s="260"/>
      <c r="O1437" s="260"/>
      <c r="P1437" s="211"/>
      <c r="Q1437" s="261"/>
      <c r="R1437" s="208" t="str">
        <f ca="1">IF(ISERROR($V1437),"",OFFSET('Smelter Look-up'!$C$4,$V1437-4,0)&amp;"")</f>
        <v/>
      </c>
      <c r="S1437" s="215" t="str">
        <f t="shared" ca="1" si="204"/>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si="205"/>
        <v>0</v>
      </c>
      <c r="Y1437" s="263"/>
      <c r="Z1437" s="263"/>
      <c r="AB1437" s="265" t="str">
        <f t="shared" si="206"/>
        <v/>
      </c>
    </row>
    <row r="1438" spans="1:28" s="264" customFormat="1" ht="20.399999999999999">
      <c r="A1438" s="207"/>
      <c r="B1438" s="208"/>
      <c r="C1438" s="212"/>
      <c r="D1438" s="270"/>
      <c r="E1438" s="208"/>
      <c r="F1438" s="208"/>
      <c r="G1438" s="208"/>
      <c r="H1438" s="209"/>
      <c r="I1438" s="210"/>
      <c r="J1438" s="210"/>
      <c r="K1438" s="260"/>
      <c r="L1438" s="260"/>
      <c r="M1438" s="260"/>
      <c r="N1438" s="260"/>
      <c r="O1438" s="260"/>
      <c r="P1438" s="211"/>
      <c r="Q1438" s="261"/>
      <c r="R1438" s="208" t="str">
        <f ca="1">IF(ISERROR($V1438),"",OFFSET('Smelter Look-up'!$C$4,$V1438-4,0)&amp;"")</f>
        <v/>
      </c>
      <c r="S1438" s="215" t="str">
        <f t="shared" ca="1" si="204"/>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si="205"/>
        <v>0</v>
      </c>
      <c r="Y1438" s="263"/>
      <c r="Z1438" s="263"/>
      <c r="AB1438" s="265" t="str">
        <f t="shared" si="206"/>
        <v/>
      </c>
    </row>
    <row r="1439" spans="1:28" s="264" customFormat="1" ht="20.399999999999999">
      <c r="A1439" s="207"/>
      <c r="B1439" s="208"/>
      <c r="C1439" s="212"/>
      <c r="D1439" s="270"/>
      <c r="E1439" s="208"/>
      <c r="F1439" s="208"/>
      <c r="G1439" s="208"/>
      <c r="H1439" s="209"/>
      <c r="I1439" s="210"/>
      <c r="J1439" s="210"/>
      <c r="K1439" s="260"/>
      <c r="L1439" s="260"/>
      <c r="M1439" s="260"/>
      <c r="N1439" s="260"/>
      <c r="O1439" s="260"/>
      <c r="P1439" s="211"/>
      <c r="Q1439" s="261"/>
      <c r="R1439" s="208" t="str">
        <f ca="1">IF(ISERROR($V1439),"",OFFSET('Smelter Look-up'!$C$4,$V1439-4,0)&amp;"")</f>
        <v/>
      </c>
      <c r="S1439" s="215" t="str">
        <f t="shared" ca="1" si="204"/>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si="205"/>
        <v>0</v>
      </c>
      <c r="Y1439" s="263"/>
      <c r="Z1439" s="263"/>
      <c r="AB1439" s="265" t="str">
        <f t="shared" si="206"/>
        <v/>
      </c>
    </row>
    <row r="1440" spans="1:28" s="264" customFormat="1" ht="20.399999999999999">
      <c r="A1440" s="207"/>
      <c r="B1440" s="208"/>
      <c r="C1440" s="212"/>
      <c r="D1440" s="270"/>
      <c r="E1440" s="208"/>
      <c r="F1440" s="208"/>
      <c r="G1440" s="208"/>
      <c r="H1440" s="209"/>
      <c r="I1440" s="210"/>
      <c r="J1440" s="210"/>
      <c r="K1440" s="260"/>
      <c r="L1440" s="260"/>
      <c r="M1440" s="260"/>
      <c r="N1440" s="260"/>
      <c r="O1440" s="260"/>
      <c r="P1440" s="211"/>
      <c r="Q1440" s="261"/>
      <c r="R1440" s="208" t="str">
        <f ca="1">IF(ISERROR($V1440),"",OFFSET('Smelter Look-up'!$C$4,$V1440-4,0)&amp;"")</f>
        <v/>
      </c>
      <c r="S1440" s="215" t="str">
        <f t="shared" ca="1" si="204"/>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si="205"/>
        <v>0</v>
      </c>
      <c r="Y1440" s="263"/>
      <c r="Z1440" s="263"/>
      <c r="AB1440" s="265" t="str">
        <f t="shared" si="206"/>
        <v/>
      </c>
    </row>
    <row r="1441" spans="1:28" s="264" customFormat="1" ht="20.399999999999999">
      <c r="A1441" s="207"/>
      <c r="B1441" s="208"/>
      <c r="C1441" s="212"/>
      <c r="D1441" s="270"/>
      <c r="E1441" s="208"/>
      <c r="F1441" s="208"/>
      <c r="G1441" s="208"/>
      <c r="H1441" s="209"/>
      <c r="I1441" s="210"/>
      <c r="J1441" s="210"/>
      <c r="K1441" s="260"/>
      <c r="L1441" s="260"/>
      <c r="M1441" s="260"/>
      <c r="N1441" s="260"/>
      <c r="O1441" s="260"/>
      <c r="P1441" s="211"/>
      <c r="Q1441" s="261"/>
      <c r="R1441" s="208" t="str">
        <f ca="1">IF(ISERROR($V1441),"",OFFSET('Smelter Look-up'!$C$4,$V1441-4,0)&amp;"")</f>
        <v/>
      </c>
      <c r="S1441" s="215" t="str">
        <f t="shared" ca="1" si="204"/>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si="205"/>
        <v>0</v>
      </c>
      <c r="Y1441" s="263"/>
      <c r="Z1441" s="263"/>
      <c r="AB1441" s="265" t="str">
        <f t="shared" si="206"/>
        <v/>
      </c>
    </row>
    <row r="1442" spans="1:28" s="264" customFormat="1" ht="20.399999999999999">
      <c r="A1442" s="207"/>
      <c r="B1442" s="208"/>
      <c r="C1442" s="212"/>
      <c r="D1442" s="270"/>
      <c r="E1442" s="208"/>
      <c r="F1442" s="208"/>
      <c r="G1442" s="208"/>
      <c r="H1442" s="209"/>
      <c r="I1442" s="210"/>
      <c r="J1442" s="210"/>
      <c r="K1442" s="260"/>
      <c r="L1442" s="260"/>
      <c r="M1442" s="260"/>
      <c r="N1442" s="260"/>
      <c r="O1442" s="260"/>
      <c r="P1442" s="211"/>
      <c r="Q1442" s="261"/>
      <c r="R1442" s="208" t="str">
        <f ca="1">IF(ISERROR($V1442),"",OFFSET('Smelter Look-up'!$C$4,$V1442-4,0)&amp;"")</f>
        <v/>
      </c>
      <c r="S1442" s="215" t="str">
        <f t="shared" ca="1" si="204"/>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si="205"/>
        <v>0</v>
      </c>
      <c r="Y1442" s="263"/>
      <c r="Z1442" s="263"/>
      <c r="AB1442" s="265" t="str">
        <f t="shared" si="206"/>
        <v/>
      </c>
    </row>
    <row r="1443" spans="1:28" s="264" customFormat="1" ht="20.399999999999999">
      <c r="A1443" s="207"/>
      <c r="B1443" s="208"/>
      <c r="C1443" s="212"/>
      <c r="D1443" s="270"/>
      <c r="E1443" s="208"/>
      <c r="F1443" s="208"/>
      <c r="G1443" s="208"/>
      <c r="H1443" s="209"/>
      <c r="I1443" s="210"/>
      <c r="J1443" s="210"/>
      <c r="K1443" s="260"/>
      <c r="L1443" s="260"/>
      <c r="M1443" s="260"/>
      <c r="N1443" s="260"/>
      <c r="O1443" s="260"/>
      <c r="P1443" s="211"/>
      <c r="Q1443" s="261"/>
      <c r="R1443" s="208" t="str">
        <f ca="1">IF(ISERROR($V1443),"",OFFSET('Smelter Look-up'!$C$4,$V1443-4,0)&amp;"")</f>
        <v/>
      </c>
      <c r="S1443" s="215" t="str">
        <f t="shared" ca="1" si="204"/>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si="205"/>
        <v>0</v>
      </c>
      <c r="Y1443" s="263"/>
      <c r="Z1443" s="263"/>
      <c r="AB1443" s="265" t="str">
        <f t="shared" si="206"/>
        <v/>
      </c>
    </row>
    <row r="1444" spans="1:28" s="264" customFormat="1" ht="20.399999999999999">
      <c r="A1444" s="207"/>
      <c r="B1444" s="208"/>
      <c r="C1444" s="212"/>
      <c r="D1444" s="270"/>
      <c r="E1444" s="208"/>
      <c r="F1444" s="208"/>
      <c r="G1444" s="208"/>
      <c r="H1444" s="209"/>
      <c r="I1444" s="210"/>
      <c r="J1444" s="210"/>
      <c r="K1444" s="260"/>
      <c r="L1444" s="260"/>
      <c r="M1444" s="260"/>
      <c r="N1444" s="260"/>
      <c r="O1444" s="260"/>
      <c r="P1444" s="211"/>
      <c r="Q1444" s="261"/>
      <c r="R1444" s="208" t="str">
        <f ca="1">IF(ISERROR($V1444),"",OFFSET('Smelter Look-up'!$C$4,$V1444-4,0)&amp;"")</f>
        <v/>
      </c>
      <c r="S1444" s="215" t="str">
        <f t="shared" ca="1" si="204"/>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si="205"/>
        <v>0</v>
      </c>
      <c r="Y1444" s="263"/>
      <c r="Z1444" s="263"/>
      <c r="AB1444" s="265" t="str">
        <f t="shared" si="206"/>
        <v/>
      </c>
    </row>
    <row r="1445" spans="1:28" s="264" customFormat="1" ht="20.399999999999999">
      <c r="A1445" s="207"/>
      <c r="B1445" s="208"/>
      <c r="C1445" s="212"/>
      <c r="D1445" s="270"/>
      <c r="E1445" s="208"/>
      <c r="F1445" s="208"/>
      <c r="G1445" s="208"/>
      <c r="H1445" s="209"/>
      <c r="I1445" s="210"/>
      <c r="J1445" s="210"/>
      <c r="K1445" s="260"/>
      <c r="L1445" s="260"/>
      <c r="M1445" s="260"/>
      <c r="N1445" s="260"/>
      <c r="O1445" s="260"/>
      <c r="P1445" s="211"/>
      <c r="Q1445" s="261"/>
      <c r="R1445" s="208" t="str">
        <f ca="1">IF(ISERROR($V1445),"",OFFSET('Smelter Look-up'!$C$4,$V1445-4,0)&amp;"")</f>
        <v/>
      </c>
      <c r="S1445" s="215" t="str">
        <f t="shared" ca="1" si="204"/>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si="205"/>
        <v>0</v>
      </c>
      <c r="Y1445" s="263"/>
      <c r="Z1445" s="263"/>
      <c r="AB1445" s="265" t="str">
        <f t="shared" si="206"/>
        <v/>
      </c>
    </row>
    <row r="1446" spans="1:28" s="264" customFormat="1" ht="20.399999999999999">
      <c r="A1446" s="207"/>
      <c r="B1446" s="208"/>
      <c r="C1446" s="212"/>
      <c r="D1446" s="270"/>
      <c r="E1446" s="208"/>
      <c r="F1446" s="208"/>
      <c r="G1446" s="208"/>
      <c r="H1446" s="209"/>
      <c r="I1446" s="210"/>
      <c r="J1446" s="210"/>
      <c r="K1446" s="260"/>
      <c r="L1446" s="260"/>
      <c r="M1446" s="260"/>
      <c r="N1446" s="260"/>
      <c r="O1446" s="260"/>
      <c r="P1446" s="211"/>
      <c r="Q1446" s="261"/>
      <c r="R1446" s="208" t="str">
        <f ca="1">IF(ISERROR($V1446),"",OFFSET('Smelter Look-up'!$C$4,$V1446-4,0)&amp;"")</f>
        <v/>
      </c>
      <c r="S1446" s="215" t="str">
        <f t="shared" ca="1" si="204"/>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si="205"/>
        <v>0</v>
      </c>
      <c r="Y1446" s="263"/>
      <c r="Z1446" s="263"/>
      <c r="AB1446" s="265" t="str">
        <f t="shared" si="206"/>
        <v/>
      </c>
    </row>
    <row r="1447" spans="1:28" s="264" customFormat="1" ht="20.399999999999999">
      <c r="A1447" s="207"/>
      <c r="B1447" s="208"/>
      <c r="C1447" s="212"/>
      <c r="D1447" s="270"/>
      <c r="E1447" s="208"/>
      <c r="F1447" s="208"/>
      <c r="G1447" s="208"/>
      <c r="H1447" s="209"/>
      <c r="I1447" s="210"/>
      <c r="J1447" s="210"/>
      <c r="K1447" s="260"/>
      <c r="L1447" s="260"/>
      <c r="M1447" s="260"/>
      <c r="N1447" s="260"/>
      <c r="O1447" s="260"/>
      <c r="P1447" s="211"/>
      <c r="Q1447" s="261"/>
      <c r="R1447" s="208" t="str">
        <f ca="1">IF(ISERROR($V1447),"",OFFSET('Smelter Look-up'!$C$4,$V1447-4,0)&amp;"")</f>
        <v/>
      </c>
      <c r="S1447" s="215" t="str">
        <f t="shared" ca="1" si="204"/>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si="205"/>
        <v>0</v>
      </c>
      <c r="Y1447" s="263"/>
      <c r="Z1447" s="263"/>
      <c r="AB1447" s="265" t="str">
        <f t="shared" si="206"/>
        <v/>
      </c>
    </row>
    <row r="1448" spans="1:28" s="264" customFormat="1" ht="20.399999999999999">
      <c r="A1448" s="207"/>
      <c r="B1448" s="208"/>
      <c r="C1448" s="212"/>
      <c r="D1448" s="270"/>
      <c r="E1448" s="208"/>
      <c r="F1448" s="208"/>
      <c r="G1448" s="208"/>
      <c r="H1448" s="209"/>
      <c r="I1448" s="210"/>
      <c r="J1448" s="210"/>
      <c r="K1448" s="260"/>
      <c r="L1448" s="260"/>
      <c r="M1448" s="260"/>
      <c r="N1448" s="260"/>
      <c r="O1448" s="260"/>
      <c r="P1448" s="211"/>
      <c r="Q1448" s="261"/>
      <c r="R1448" s="208" t="str">
        <f ca="1">IF(ISERROR($V1448),"",OFFSET('Smelter Look-up'!$C$4,$V1448-4,0)&amp;"")</f>
        <v/>
      </c>
      <c r="S1448" s="215" t="str">
        <f t="shared" ca="1" si="204"/>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si="205"/>
        <v>0</v>
      </c>
      <c r="Y1448" s="263"/>
      <c r="Z1448" s="263"/>
      <c r="AB1448" s="265" t="str">
        <f t="shared" si="206"/>
        <v/>
      </c>
    </row>
    <row r="1449" spans="1:28" s="264" customFormat="1" ht="20.399999999999999">
      <c r="A1449" s="207"/>
      <c r="B1449" s="208"/>
      <c r="C1449" s="212"/>
      <c r="D1449" s="270"/>
      <c r="E1449" s="208"/>
      <c r="F1449" s="208"/>
      <c r="G1449" s="208"/>
      <c r="H1449" s="209"/>
      <c r="I1449" s="210"/>
      <c r="J1449" s="210"/>
      <c r="K1449" s="260"/>
      <c r="L1449" s="260"/>
      <c r="M1449" s="260"/>
      <c r="N1449" s="260"/>
      <c r="O1449" s="260"/>
      <c r="P1449" s="211"/>
      <c r="Q1449" s="261"/>
      <c r="R1449" s="208" t="str">
        <f ca="1">IF(ISERROR($V1449),"",OFFSET('Smelter Look-up'!$C$4,$V1449-4,0)&amp;"")</f>
        <v/>
      </c>
      <c r="S1449" s="215" t="str">
        <f t="shared" ca="1" si="204"/>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si="205"/>
        <v>0</v>
      </c>
      <c r="Y1449" s="263"/>
      <c r="Z1449" s="263"/>
      <c r="AB1449" s="265" t="str">
        <f t="shared" si="206"/>
        <v/>
      </c>
    </row>
    <row r="1450" spans="1:28" s="264" customFormat="1" ht="20.399999999999999">
      <c r="A1450" s="207"/>
      <c r="B1450" s="208"/>
      <c r="C1450" s="212"/>
      <c r="D1450" s="270"/>
      <c r="E1450" s="208"/>
      <c r="F1450" s="208"/>
      <c r="G1450" s="208"/>
      <c r="H1450" s="209"/>
      <c r="I1450" s="210"/>
      <c r="J1450" s="210"/>
      <c r="K1450" s="260"/>
      <c r="L1450" s="260"/>
      <c r="M1450" s="260"/>
      <c r="N1450" s="260"/>
      <c r="O1450" s="260"/>
      <c r="P1450" s="211"/>
      <c r="Q1450" s="261"/>
      <c r="R1450" s="208" t="str">
        <f ca="1">IF(ISERROR($V1450),"",OFFSET('Smelter Look-up'!$C$4,$V1450-4,0)&amp;"")</f>
        <v/>
      </c>
      <c r="S1450" s="215" t="str">
        <f t="shared" ca="1" si="204"/>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si="205"/>
        <v>0</v>
      </c>
      <c r="Y1450" s="263"/>
      <c r="Z1450" s="263"/>
      <c r="AB1450" s="265" t="str">
        <f t="shared" si="206"/>
        <v/>
      </c>
    </row>
    <row r="1451" spans="1:28" s="264" customFormat="1" ht="20.399999999999999">
      <c r="A1451" s="207"/>
      <c r="B1451" s="208"/>
      <c r="C1451" s="212"/>
      <c r="D1451" s="270"/>
      <c r="E1451" s="208"/>
      <c r="F1451" s="208"/>
      <c r="G1451" s="208"/>
      <c r="H1451" s="209"/>
      <c r="I1451" s="210"/>
      <c r="J1451" s="210"/>
      <c r="K1451" s="260"/>
      <c r="L1451" s="260"/>
      <c r="M1451" s="260"/>
      <c r="N1451" s="260"/>
      <c r="O1451" s="260"/>
      <c r="P1451" s="211"/>
      <c r="Q1451" s="261"/>
      <c r="R1451" s="208" t="str">
        <f ca="1">IF(ISERROR($V1451),"",OFFSET('Smelter Look-up'!$C$4,$V1451-4,0)&amp;"")</f>
        <v/>
      </c>
      <c r="S1451" s="215" t="str">
        <f t="shared" ca="1" si="204"/>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si="205"/>
        <v>0</v>
      </c>
      <c r="Y1451" s="263"/>
      <c r="Z1451" s="263"/>
      <c r="AB1451" s="265" t="str">
        <f t="shared" si="206"/>
        <v/>
      </c>
    </row>
    <row r="1452" spans="1:28" s="264" customFormat="1" ht="20.399999999999999">
      <c r="A1452" s="207"/>
      <c r="B1452" s="208"/>
      <c r="C1452" s="212"/>
      <c r="D1452" s="270"/>
      <c r="E1452" s="208"/>
      <c r="F1452" s="208"/>
      <c r="G1452" s="208"/>
      <c r="H1452" s="209"/>
      <c r="I1452" s="210"/>
      <c r="J1452" s="210"/>
      <c r="K1452" s="260"/>
      <c r="L1452" s="260"/>
      <c r="M1452" s="260"/>
      <c r="N1452" s="260"/>
      <c r="O1452" s="260"/>
      <c r="P1452" s="211"/>
      <c r="Q1452" s="261"/>
      <c r="R1452" s="208" t="str">
        <f ca="1">IF(ISERROR($V1452),"",OFFSET('Smelter Look-up'!$C$4,$V1452-4,0)&amp;"")</f>
        <v/>
      </c>
      <c r="S1452" s="215" t="str">
        <f t="shared" ca="1" si="204"/>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si="205"/>
        <v>0</v>
      </c>
      <c r="Y1452" s="263"/>
      <c r="Z1452" s="263"/>
      <c r="AB1452" s="265" t="str">
        <f t="shared" si="206"/>
        <v/>
      </c>
    </row>
    <row r="1453" spans="1:28" s="264" customFormat="1" ht="20.399999999999999">
      <c r="A1453" s="207"/>
      <c r="B1453" s="208"/>
      <c r="C1453" s="212"/>
      <c r="D1453" s="270"/>
      <c r="E1453" s="208"/>
      <c r="F1453" s="208"/>
      <c r="G1453" s="208"/>
      <c r="H1453" s="209"/>
      <c r="I1453" s="210"/>
      <c r="J1453" s="210"/>
      <c r="K1453" s="260"/>
      <c r="L1453" s="260"/>
      <c r="M1453" s="260"/>
      <c r="N1453" s="260"/>
      <c r="O1453" s="260"/>
      <c r="P1453" s="211"/>
      <c r="Q1453" s="261"/>
      <c r="R1453" s="208" t="str">
        <f ca="1">IF(ISERROR($V1453),"",OFFSET('Smelter Look-up'!$C$4,$V1453-4,0)&amp;"")</f>
        <v/>
      </c>
      <c r="S1453" s="215" t="str">
        <f t="shared" ca="1" si="204"/>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si="205"/>
        <v>0</v>
      </c>
      <c r="Y1453" s="263"/>
      <c r="Z1453" s="263"/>
      <c r="AB1453" s="265" t="str">
        <f t="shared" si="206"/>
        <v/>
      </c>
    </row>
    <row r="1454" spans="1:28" s="264" customFormat="1" ht="20.399999999999999">
      <c r="A1454" s="207"/>
      <c r="B1454" s="208"/>
      <c r="C1454" s="212"/>
      <c r="D1454" s="270"/>
      <c r="E1454" s="208"/>
      <c r="F1454" s="208"/>
      <c r="G1454" s="208"/>
      <c r="H1454" s="209"/>
      <c r="I1454" s="210"/>
      <c r="J1454" s="210"/>
      <c r="K1454" s="260"/>
      <c r="L1454" s="260"/>
      <c r="M1454" s="260"/>
      <c r="N1454" s="260"/>
      <c r="O1454" s="260"/>
      <c r="P1454" s="211"/>
      <c r="Q1454" s="261"/>
      <c r="R1454" s="208" t="str">
        <f ca="1">IF(ISERROR($V1454),"",OFFSET('Smelter Look-up'!$C$4,$V1454-4,0)&amp;"")</f>
        <v/>
      </c>
      <c r="S1454" s="215" t="str">
        <f t="shared" ca="1" si="204"/>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si="205"/>
        <v>0</v>
      </c>
      <c r="Y1454" s="263"/>
      <c r="Z1454" s="263"/>
      <c r="AB1454" s="265" t="str">
        <f t="shared" si="206"/>
        <v/>
      </c>
    </row>
    <row r="1455" spans="1:28" s="264" customFormat="1" ht="20.399999999999999">
      <c r="A1455" s="207"/>
      <c r="B1455" s="208"/>
      <c r="C1455" s="212"/>
      <c r="D1455" s="270"/>
      <c r="E1455" s="208"/>
      <c r="F1455" s="208"/>
      <c r="G1455" s="208"/>
      <c r="H1455" s="209"/>
      <c r="I1455" s="210"/>
      <c r="J1455" s="210"/>
      <c r="K1455" s="260"/>
      <c r="L1455" s="260"/>
      <c r="M1455" s="260"/>
      <c r="N1455" s="260"/>
      <c r="O1455" s="260"/>
      <c r="P1455" s="211"/>
      <c r="Q1455" s="261"/>
      <c r="R1455" s="208" t="str">
        <f ca="1">IF(ISERROR($V1455),"",OFFSET('Smelter Look-up'!$C$4,$V1455-4,0)&amp;"")</f>
        <v/>
      </c>
      <c r="S1455" s="215" t="str">
        <f t="shared" ca="1" si="204"/>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si="205"/>
        <v>0</v>
      </c>
      <c r="Y1455" s="263"/>
      <c r="Z1455" s="263"/>
      <c r="AB1455" s="265" t="str">
        <f t="shared" si="206"/>
        <v/>
      </c>
    </row>
    <row r="1456" spans="1:28" s="264" customFormat="1" ht="20.399999999999999">
      <c r="A1456" s="207"/>
      <c r="B1456" s="208"/>
      <c r="C1456" s="212"/>
      <c r="D1456" s="270"/>
      <c r="E1456" s="208"/>
      <c r="F1456" s="208"/>
      <c r="G1456" s="208"/>
      <c r="H1456" s="209"/>
      <c r="I1456" s="210"/>
      <c r="J1456" s="210"/>
      <c r="K1456" s="260"/>
      <c r="L1456" s="260"/>
      <c r="M1456" s="260"/>
      <c r="N1456" s="260"/>
      <c r="O1456" s="260"/>
      <c r="P1456" s="211"/>
      <c r="Q1456" s="261"/>
      <c r="R1456" s="208" t="str">
        <f ca="1">IF(ISERROR($V1456),"",OFFSET('Smelter Look-up'!$C$4,$V1456-4,0)&amp;"")</f>
        <v/>
      </c>
      <c r="S1456" s="215" t="str">
        <f t="shared" ca="1" si="204"/>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si="205"/>
        <v>0</v>
      </c>
      <c r="Y1456" s="263"/>
      <c r="Z1456" s="263"/>
      <c r="AB1456" s="265" t="str">
        <f t="shared" si="206"/>
        <v/>
      </c>
    </row>
    <row r="1457" spans="1:28" s="264" customFormat="1" ht="20.399999999999999">
      <c r="A1457" s="207"/>
      <c r="B1457" s="208"/>
      <c r="C1457" s="212"/>
      <c r="D1457" s="270"/>
      <c r="E1457" s="208"/>
      <c r="F1457" s="208"/>
      <c r="G1457" s="208"/>
      <c r="H1457" s="209"/>
      <c r="I1457" s="210"/>
      <c r="J1457" s="210"/>
      <c r="K1457" s="260"/>
      <c r="L1457" s="260"/>
      <c r="M1457" s="260"/>
      <c r="N1457" s="260"/>
      <c r="O1457" s="260"/>
      <c r="P1457" s="211"/>
      <c r="Q1457" s="261"/>
      <c r="R1457" s="208" t="str">
        <f ca="1">IF(ISERROR($V1457),"",OFFSET('Smelter Look-up'!$C$4,$V1457-4,0)&amp;"")</f>
        <v/>
      </c>
      <c r="S1457" s="215" t="str">
        <f t="shared" ca="1" si="204"/>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si="205"/>
        <v>0</v>
      </c>
      <c r="Y1457" s="263"/>
      <c r="Z1457" s="263"/>
      <c r="AB1457" s="265" t="str">
        <f t="shared" si="206"/>
        <v/>
      </c>
    </row>
    <row r="1458" spans="1:28" s="264" customFormat="1" ht="20.399999999999999">
      <c r="A1458" s="207"/>
      <c r="B1458" s="208"/>
      <c r="C1458" s="212"/>
      <c r="D1458" s="270"/>
      <c r="E1458" s="208"/>
      <c r="F1458" s="208"/>
      <c r="G1458" s="208"/>
      <c r="H1458" s="209"/>
      <c r="I1458" s="210"/>
      <c r="J1458" s="210"/>
      <c r="K1458" s="260"/>
      <c r="L1458" s="260"/>
      <c r="M1458" s="260"/>
      <c r="N1458" s="260"/>
      <c r="O1458" s="260"/>
      <c r="P1458" s="211"/>
      <c r="Q1458" s="261"/>
      <c r="R1458" s="208" t="str">
        <f ca="1">IF(ISERROR($V1458),"",OFFSET('Smelter Look-up'!$C$4,$V1458-4,0)&amp;"")</f>
        <v/>
      </c>
      <c r="S1458" s="215" t="str">
        <f t="shared" ca="1" si="204"/>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si="205"/>
        <v>0</v>
      </c>
      <c r="Y1458" s="263"/>
      <c r="Z1458" s="263"/>
      <c r="AB1458" s="265" t="str">
        <f t="shared" si="206"/>
        <v/>
      </c>
    </row>
    <row r="1459" spans="1:28" s="264" customFormat="1" ht="20.399999999999999">
      <c r="A1459" s="207"/>
      <c r="B1459" s="208"/>
      <c r="C1459" s="212"/>
      <c r="D1459" s="270"/>
      <c r="E1459" s="208"/>
      <c r="F1459" s="208"/>
      <c r="G1459" s="208"/>
      <c r="H1459" s="209"/>
      <c r="I1459" s="210"/>
      <c r="J1459" s="210"/>
      <c r="K1459" s="260"/>
      <c r="L1459" s="260"/>
      <c r="M1459" s="260"/>
      <c r="N1459" s="260"/>
      <c r="O1459" s="260"/>
      <c r="P1459" s="211"/>
      <c r="Q1459" s="261"/>
      <c r="R1459" s="208" t="str">
        <f ca="1">IF(ISERROR($V1459),"",OFFSET('Smelter Look-up'!$C$4,$V1459-4,0)&amp;"")</f>
        <v/>
      </c>
      <c r="S1459" s="215" t="str">
        <f t="shared" ca="1" si="204"/>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si="205"/>
        <v>0</v>
      </c>
      <c r="Y1459" s="263"/>
      <c r="Z1459" s="263"/>
      <c r="AB1459" s="265" t="str">
        <f t="shared" si="206"/>
        <v/>
      </c>
    </row>
    <row r="1460" spans="1:28" s="264" customFormat="1" ht="20.399999999999999">
      <c r="A1460" s="207"/>
      <c r="B1460" s="208"/>
      <c r="C1460" s="212"/>
      <c r="D1460" s="270"/>
      <c r="E1460" s="208"/>
      <c r="F1460" s="208"/>
      <c r="G1460" s="208"/>
      <c r="H1460" s="209"/>
      <c r="I1460" s="210"/>
      <c r="J1460" s="210"/>
      <c r="K1460" s="260"/>
      <c r="L1460" s="260"/>
      <c r="M1460" s="260"/>
      <c r="N1460" s="260"/>
      <c r="O1460" s="260"/>
      <c r="P1460" s="211"/>
      <c r="Q1460" s="261"/>
      <c r="R1460" s="208" t="str">
        <f ca="1">IF(ISERROR($V1460),"",OFFSET('Smelter Look-up'!$C$4,$V1460-4,0)&amp;"")</f>
        <v/>
      </c>
      <c r="S1460" s="215" t="str">
        <f t="shared" ca="1" si="204"/>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si="205"/>
        <v>0</v>
      </c>
      <c r="Y1460" s="263"/>
      <c r="Z1460" s="263"/>
      <c r="AB1460" s="265" t="str">
        <f t="shared" si="206"/>
        <v/>
      </c>
    </row>
    <row r="1461" spans="1:28" s="264" customFormat="1" ht="20.399999999999999">
      <c r="A1461" s="207"/>
      <c r="B1461" s="208"/>
      <c r="C1461" s="212"/>
      <c r="D1461" s="270"/>
      <c r="E1461" s="208"/>
      <c r="F1461" s="208"/>
      <c r="G1461" s="208"/>
      <c r="H1461" s="209"/>
      <c r="I1461" s="210"/>
      <c r="J1461" s="210"/>
      <c r="K1461" s="260"/>
      <c r="L1461" s="260"/>
      <c r="M1461" s="260"/>
      <c r="N1461" s="260"/>
      <c r="O1461" s="260"/>
      <c r="P1461" s="211"/>
      <c r="Q1461" s="261"/>
      <c r="R1461" s="208" t="str">
        <f ca="1">IF(ISERROR($V1461),"",OFFSET('Smelter Look-up'!$C$4,$V1461-4,0)&amp;"")</f>
        <v/>
      </c>
      <c r="S1461" s="215" t="str">
        <f t="shared" ca="1" si="204"/>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si="205"/>
        <v>0</v>
      </c>
      <c r="Y1461" s="263"/>
      <c r="Z1461" s="263"/>
      <c r="AB1461" s="265" t="str">
        <f t="shared" si="206"/>
        <v/>
      </c>
    </row>
    <row r="1462" spans="1:28" s="264" customFormat="1" ht="20.399999999999999">
      <c r="A1462" s="207"/>
      <c r="B1462" s="208"/>
      <c r="C1462" s="212"/>
      <c r="D1462" s="270"/>
      <c r="E1462" s="208"/>
      <c r="F1462" s="208"/>
      <c r="G1462" s="208"/>
      <c r="H1462" s="209"/>
      <c r="I1462" s="210"/>
      <c r="J1462" s="210"/>
      <c r="K1462" s="260"/>
      <c r="L1462" s="260"/>
      <c r="M1462" s="260"/>
      <c r="N1462" s="260"/>
      <c r="O1462" s="260"/>
      <c r="P1462" s="211"/>
      <c r="Q1462" s="261"/>
      <c r="R1462" s="208" t="str">
        <f ca="1">IF(ISERROR($V1462),"",OFFSET('Smelter Look-up'!$C$4,$V1462-4,0)&amp;"")</f>
        <v/>
      </c>
      <c r="S1462" s="215" t="str">
        <f t="shared" ca="1" si="204"/>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si="205"/>
        <v>0</v>
      </c>
      <c r="Y1462" s="263"/>
      <c r="Z1462" s="263"/>
      <c r="AB1462" s="265" t="str">
        <f t="shared" si="206"/>
        <v/>
      </c>
    </row>
    <row r="1463" spans="1:28" s="264" customFormat="1" ht="20.399999999999999">
      <c r="A1463" s="207"/>
      <c r="B1463" s="208"/>
      <c r="C1463" s="212"/>
      <c r="D1463" s="270"/>
      <c r="E1463" s="208"/>
      <c r="F1463" s="208"/>
      <c r="G1463" s="208"/>
      <c r="H1463" s="209"/>
      <c r="I1463" s="210"/>
      <c r="J1463" s="210"/>
      <c r="K1463" s="260"/>
      <c r="L1463" s="260"/>
      <c r="M1463" s="260"/>
      <c r="N1463" s="260"/>
      <c r="O1463" s="260"/>
      <c r="P1463" s="211"/>
      <c r="Q1463" s="261"/>
      <c r="R1463" s="208" t="str">
        <f ca="1">IF(ISERROR($V1463),"",OFFSET('Smelter Look-up'!$C$4,$V1463-4,0)&amp;"")</f>
        <v/>
      </c>
      <c r="S1463" s="215" t="str">
        <f t="shared" ca="1" si="204"/>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si="205"/>
        <v>0</v>
      </c>
      <c r="Y1463" s="263"/>
      <c r="Z1463" s="263"/>
      <c r="AB1463" s="265" t="str">
        <f t="shared" si="206"/>
        <v/>
      </c>
    </row>
    <row r="1464" spans="1:28" s="264" customFormat="1" ht="20.399999999999999">
      <c r="A1464" s="207"/>
      <c r="B1464" s="208"/>
      <c r="C1464" s="212"/>
      <c r="D1464" s="270"/>
      <c r="E1464" s="208"/>
      <c r="F1464" s="208"/>
      <c r="G1464" s="208"/>
      <c r="H1464" s="209"/>
      <c r="I1464" s="210"/>
      <c r="J1464" s="210"/>
      <c r="K1464" s="260"/>
      <c r="L1464" s="260"/>
      <c r="M1464" s="260"/>
      <c r="N1464" s="260"/>
      <c r="O1464" s="260"/>
      <c r="P1464" s="211"/>
      <c r="Q1464" s="261"/>
      <c r="R1464" s="208" t="str">
        <f ca="1">IF(ISERROR($V1464),"",OFFSET('Smelter Look-up'!$C$4,$V1464-4,0)&amp;"")</f>
        <v/>
      </c>
      <c r="S1464" s="215" t="str">
        <f t="shared" ca="1" si="204"/>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si="205"/>
        <v>0</v>
      </c>
      <c r="Y1464" s="263"/>
      <c r="Z1464" s="263"/>
      <c r="AB1464" s="265" t="str">
        <f t="shared" si="206"/>
        <v/>
      </c>
    </row>
    <row r="1465" spans="1:28" s="264" customFormat="1" ht="20.399999999999999">
      <c r="A1465" s="207"/>
      <c r="B1465" s="208"/>
      <c r="C1465" s="212"/>
      <c r="D1465" s="270"/>
      <c r="E1465" s="208"/>
      <c r="F1465" s="208"/>
      <c r="G1465" s="208"/>
      <c r="H1465" s="209"/>
      <c r="I1465" s="210"/>
      <c r="J1465" s="210"/>
      <c r="K1465" s="260"/>
      <c r="L1465" s="260"/>
      <c r="M1465" s="260"/>
      <c r="N1465" s="260"/>
      <c r="O1465" s="260"/>
      <c r="P1465" s="211"/>
      <c r="Q1465" s="261"/>
      <c r="R1465" s="208" t="str">
        <f ca="1">IF(ISERROR($V1465),"",OFFSET('Smelter Look-up'!$C$4,$V1465-4,0)&amp;"")</f>
        <v/>
      </c>
      <c r="S1465" s="215" t="str">
        <f t="shared" ca="1" si="204"/>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si="205"/>
        <v>0</v>
      </c>
      <c r="Y1465" s="263"/>
      <c r="Z1465" s="263"/>
      <c r="AB1465" s="265" t="str">
        <f t="shared" si="206"/>
        <v/>
      </c>
    </row>
    <row r="1466" spans="1:28" s="264" customFormat="1" ht="20.399999999999999">
      <c r="A1466" s="207"/>
      <c r="B1466" s="208"/>
      <c r="C1466" s="212"/>
      <c r="D1466" s="270"/>
      <c r="E1466" s="208"/>
      <c r="F1466" s="208"/>
      <c r="G1466" s="208"/>
      <c r="H1466" s="209"/>
      <c r="I1466" s="210"/>
      <c r="J1466" s="210"/>
      <c r="K1466" s="260"/>
      <c r="L1466" s="260"/>
      <c r="M1466" s="260"/>
      <c r="N1466" s="260"/>
      <c r="O1466" s="260"/>
      <c r="P1466" s="211"/>
      <c r="Q1466" s="261"/>
      <c r="R1466" s="208" t="str">
        <f ca="1">IF(ISERROR($V1466),"",OFFSET('Smelter Look-up'!$C$4,$V1466-4,0)&amp;"")</f>
        <v/>
      </c>
      <c r="S1466" s="215" t="str">
        <f t="shared" ca="1" si="204"/>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si="205"/>
        <v>0</v>
      </c>
      <c r="Y1466" s="263"/>
      <c r="Z1466" s="263"/>
      <c r="AB1466" s="265" t="str">
        <f t="shared" si="206"/>
        <v/>
      </c>
    </row>
    <row r="1467" spans="1:28" s="264" customFormat="1" ht="20.399999999999999">
      <c r="A1467" s="207"/>
      <c r="B1467" s="208"/>
      <c r="C1467" s="212"/>
      <c r="D1467" s="270"/>
      <c r="E1467" s="208"/>
      <c r="F1467" s="208"/>
      <c r="G1467" s="208"/>
      <c r="H1467" s="209"/>
      <c r="I1467" s="210"/>
      <c r="J1467" s="210"/>
      <c r="K1467" s="260"/>
      <c r="L1467" s="260"/>
      <c r="M1467" s="260"/>
      <c r="N1467" s="260"/>
      <c r="O1467" s="260"/>
      <c r="P1467" s="211"/>
      <c r="Q1467" s="261"/>
      <c r="R1467" s="208" t="str">
        <f ca="1">IF(ISERROR($V1467),"",OFFSET('Smelter Look-up'!$C$4,$V1467-4,0)&amp;"")</f>
        <v/>
      </c>
      <c r="S1467" s="215" t="str">
        <f t="shared" ref="S1467" ca="1" si="207">IF(B1467="","",IF(ISERROR(MATCH($E1467,CL,0)),"Unknown",INDIRECT("'C'!$A$"&amp;MATCH($E1467,CL,0)+1)))</f>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ref="X1467" si="208">IF(AND(C1467="Smelter not listed",OR(LEN(D1467)=0,LEN(E1467)=0)),1,0)</f>
        <v>0</v>
      </c>
      <c r="Y1467" s="263"/>
      <c r="Z1467" s="263"/>
      <c r="AB1467" s="265" t="str">
        <f t="shared" ref="AB1467" si="209">B1467&amp;C1467</f>
        <v/>
      </c>
    </row>
    <row r="1468" spans="1:28" s="264" customFormat="1" ht="20.399999999999999">
      <c r="A1468" s="207"/>
      <c r="B1468" s="208"/>
      <c r="C1468" s="212"/>
      <c r="D1468" s="270"/>
      <c r="E1468" s="208"/>
      <c r="F1468" s="208"/>
      <c r="G1468" s="208"/>
      <c r="H1468" s="209"/>
      <c r="I1468" s="210"/>
      <c r="J1468" s="210"/>
      <c r="K1468" s="260"/>
      <c r="L1468" s="260"/>
      <c r="M1468" s="260"/>
      <c r="N1468" s="260"/>
      <c r="O1468" s="260"/>
      <c r="P1468" s="211"/>
      <c r="Q1468" s="261"/>
      <c r="R1468" s="208" t="str">
        <f ca="1">IF(ISERROR($V1468),"",OFFSET('Smelter Look-up'!$C$4,$V1468-4,0)&amp;"")</f>
        <v/>
      </c>
      <c r="S1468" s="215" t="str">
        <f t="shared" ref="S1468:S1499" ca="1" si="210">IF(B1468="","",IF(ISERROR(MATCH($E1468,CL,0)),"Unknown",INDIRECT("'C'!$A$"&amp;MATCH($E1468,CL,0)+1)))</f>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ref="X1468:X1499" si="211">IF(AND(C1468="Smelter not listed",OR(LEN(D1468)=0,LEN(E1468)=0)),1,0)</f>
        <v>0</v>
      </c>
      <c r="Y1468" s="263"/>
      <c r="Z1468" s="263"/>
      <c r="AB1468" s="265" t="str">
        <f t="shared" ref="AB1468:AB1499" si="212">B1468&amp;C1468</f>
        <v/>
      </c>
    </row>
    <row r="1469" spans="1:28" s="264" customFormat="1" ht="20.399999999999999">
      <c r="A1469" s="207"/>
      <c r="B1469" s="208"/>
      <c r="C1469" s="212"/>
      <c r="D1469" s="270"/>
      <c r="E1469" s="208"/>
      <c r="F1469" s="208"/>
      <c r="G1469" s="208"/>
      <c r="H1469" s="209"/>
      <c r="I1469" s="210"/>
      <c r="J1469" s="210"/>
      <c r="K1469" s="260"/>
      <c r="L1469" s="260"/>
      <c r="M1469" s="260"/>
      <c r="N1469" s="260"/>
      <c r="O1469" s="260"/>
      <c r="P1469" s="211"/>
      <c r="Q1469" s="261"/>
      <c r="R1469" s="208" t="str">
        <f ca="1">IF(ISERROR($V1469),"",OFFSET('Smelter Look-up'!$C$4,$V1469-4,0)&amp;"")</f>
        <v/>
      </c>
      <c r="S1469" s="215" t="str">
        <f t="shared" ca="1" si="210"/>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si="211"/>
        <v>0</v>
      </c>
      <c r="Y1469" s="263"/>
      <c r="Z1469" s="263"/>
      <c r="AB1469" s="265" t="str">
        <f t="shared" si="212"/>
        <v/>
      </c>
    </row>
    <row r="1470" spans="1:28" s="264" customFormat="1" ht="20.399999999999999">
      <c r="A1470" s="207"/>
      <c r="B1470" s="208"/>
      <c r="C1470" s="212"/>
      <c r="D1470" s="270"/>
      <c r="E1470" s="208"/>
      <c r="F1470" s="208"/>
      <c r="G1470" s="208"/>
      <c r="H1470" s="209"/>
      <c r="I1470" s="210"/>
      <c r="J1470" s="210"/>
      <c r="K1470" s="260"/>
      <c r="L1470" s="260"/>
      <c r="M1470" s="260"/>
      <c r="N1470" s="260"/>
      <c r="O1470" s="260"/>
      <c r="P1470" s="211"/>
      <c r="Q1470" s="261"/>
      <c r="R1470" s="208" t="str">
        <f ca="1">IF(ISERROR($V1470),"",OFFSET('Smelter Look-up'!$C$4,$V1470-4,0)&amp;"")</f>
        <v/>
      </c>
      <c r="S1470" s="215" t="str">
        <f t="shared" ca="1" si="210"/>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si="211"/>
        <v>0</v>
      </c>
      <c r="Y1470" s="263"/>
      <c r="Z1470" s="263"/>
      <c r="AB1470" s="265" t="str">
        <f t="shared" si="212"/>
        <v/>
      </c>
    </row>
    <row r="1471" spans="1:28" s="264" customFormat="1" ht="20.399999999999999">
      <c r="A1471" s="207"/>
      <c r="B1471" s="208"/>
      <c r="C1471" s="212"/>
      <c r="D1471" s="270"/>
      <c r="E1471" s="208"/>
      <c r="F1471" s="208"/>
      <c r="G1471" s="208"/>
      <c r="H1471" s="209"/>
      <c r="I1471" s="210"/>
      <c r="J1471" s="210"/>
      <c r="K1471" s="260"/>
      <c r="L1471" s="260"/>
      <c r="M1471" s="260"/>
      <c r="N1471" s="260"/>
      <c r="O1471" s="260"/>
      <c r="P1471" s="211"/>
      <c r="Q1471" s="261"/>
      <c r="R1471" s="208" t="str">
        <f ca="1">IF(ISERROR($V1471),"",OFFSET('Smelter Look-up'!$C$4,$V1471-4,0)&amp;"")</f>
        <v/>
      </c>
      <c r="S1471" s="215" t="str">
        <f t="shared" ca="1" si="210"/>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si="211"/>
        <v>0</v>
      </c>
      <c r="Y1471" s="263"/>
      <c r="Z1471" s="263"/>
      <c r="AB1471" s="265" t="str">
        <f t="shared" si="212"/>
        <v/>
      </c>
    </row>
    <row r="1472" spans="1:28" s="264" customFormat="1" ht="20.399999999999999">
      <c r="A1472" s="207"/>
      <c r="B1472" s="208"/>
      <c r="C1472" s="212"/>
      <c r="D1472" s="270"/>
      <c r="E1472" s="208"/>
      <c r="F1472" s="208"/>
      <c r="G1472" s="208"/>
      <c r="H1472" s="209"/>
      <c r="I1472" s="210"/>
      <c r="J1472" s="210"/>
      <c r="K1472" s="260"/>
      <c r="L1472" s="260"/>
      <c r="M1472" s="260"/>
      <c r="N1472" s="260"/>
      <c r="O1472" s="260"/>
      <c r="P1472" s="211"/>
      <c r="Q1472" s="261"/>
      <c r="R1472" s="208" t="str">
        <f ca="1">IF(ISERROR($V1472),"",OFFSET('Smelter Look-up'!$C$4,$V1472-4,0)&amp;"")</f>
        <v/>
      </c>
      <c r="S1472" s="215" t="str">
        <f t="shared" ca="1" si="210"/>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si="211"/>
        <v>0</v>
      </c>
      <c r="Y1472" s="263"/>
      <c r="Z1472" s="263"/>
      <c r="AB1472" s="265" t="str">
        <f t="shared" si="212"/>
        <v/>
      </c>
    </row>
    <row r="1473" spans="1:28" s="264" customFormat="1" ht="20.399999999999999">
      <c r="A1473" s="207"/>
      <c r="B1473" s="208"/>
      <c r="C1473" s="212"/>
      <c r="D1473" s="270"/>
      <c r="E1473" s="208"/>
      <c r="F1473" s="208"/>
      <c r="G1473" s="208"/>
      <c r="H1473" s="209"/>
      <c r="I1473" s="210"/>
      <c r="J1473" s="210"/>
      <c r="K1473" s="260"/>
      <c r="L1473" s="260"/>
      <c r="M1473" s="260"/>
      <c r="N1473" s="260"/>
      <c r="O1473" s="260"/>
      <c r="P1473" s="211"/>
      <c r="Q1473" s="261"/>
      <c r="R1473" s="208" t="str">
        <f ca="1">IF(ISERROR($V1473),"",OFFSET('Smelter Look-up'!$C$4,$V1473-4,0)&amp;"")</f>
        <v/>
      </c>
      <c r="S1473" s="215" t="str">
        <f t="shared" ca="1" si="210"/>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si="211"/>
        <v>0</v>
      </c>
      <c r="Y1473" s="263"/>
      <c r="Z1473" s="263"/>
      <c r="AB1473" s="265" t="str">
        <f t="shared" si="212"/>
        <v/>
      </c>
    </row>
    <row r="1474" spans="1:28" s="264" customFormat="1" ht="20.399999999999999">
      <c r="A1474" s="207"/>
      <c r="B1474" s="208"/>
      <c r="C1474" s="212"/>
      <c r="D1474" s="270"/>
      <c r="E1474" s="208"/>
      <c r="F1474" s="208"/>
      <c r="G1474" s="208"/>
      <c r="H1474" s="209"/>
      <c r="I1474" s="210"/>
      <c r="J1474" s="210"/>
      <c r="K1474" s="260"/>
      <c r="L1474" s="260"/>
      <c r="M1474" s="260"/>
      <c r="N1474" s="260"/>
      <c r="O1474" s="260"/>
      <c r="P1474" s="211"/>
      <c r="Q1474" s="261"/>
      <c r="R1474" s="208" t="str">
        <f ca="1">IF(ISERROR($V1474),"",OFFSET('Smelter Look-up'!$C$4,$V1474-4,0)&amp;"")</f>
        <v/>
      </c>
      <c r="S1474" s="215" t="str">
        <f t="shared" ca="1" si="210"/>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si="211"/>
        <v>0</v>
      </c>
      <c r="Y1474" s="263"/>
      <c r="Z1474" s="263"/>
      <c r="AB1474" s="265" t="str">
        <f t="shared" si="212"/>
        <v/>
      </c>
    </row>
    <row r="1475" spans="1:28" s="264" customFormat="1" ht="20.399999999999999">
      <c r="A1475" s="207"/>
      <c r="B1475" s="208"/>
      <c r="C1475" s="212"/>
      <c r="D1475" s="270"/>
      <c r="E1475" s="208"/>
      <c r="F1475" s="208"/>
      <c r="G1475" s="208"/>
      <c r="H1475" s="209"/>
      <c r="I1475" s="210"/>
      <c r="J1475" s="210"/>
      <c r="K1475" s="260"/>
      <c r="L1475" s="260"/>
      <c r="M1475" s="260"/>
      <c r="N1475" s="260"/>
      <c r="O1475" s="260"/>
      <c r="P1475" s="211"/>
      <c r="Q1475" s="261"/>
      <c r="R1475" s="208" t="str">
        <f ca="1">IF(ISERROR($V1475),"",OFFSET('Smelter Look-up'!$C$4,$V1475-4,0)&amp;"")</f>
        <v/>
      </c>
      <c r="S1475" s="215" t="str">
        <f t="shared" ca="1" si="210"/>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si="211"/>
        <v>0</v>
      </c>
      <c r="Y1475" s="263"/>
      <c r="Z1475" s="263"/>
      <c r="AB1475" s="265" t="str">
        <f t="shared" si="212"/>
        <v/>
      </c>
    </row>
    <row r="1476" spans="1:28" s="264" customFormat="1" ht="20.399999999999999">
      <c r="A1476" s="207"/>
      <c r="B1476" s="208"/>
      <c r="C1476" s="212"/>
      <c r="D1476" s="270"/>
      <c r="E1476" s="208"/>
      <c r="F1476" s="208"/>
      <c r="G1476" s="208"/>
      <c r="H1476" s="209"/>
      <c r="I1476" s="210"/>
      <c r="J1476" s="210"/>
      <c r="K1476" s="260"/>
      <c r="L1476" s="260"/>
      <c r="M1476" s="260"/>
      <c r="N1476" s="260"/>
      <c r="O1476" s="260"/>
      <c r="P1476" s="211"/>
      <c r="Q1476" s="261"/>
      <c r="R1476" s="208" t="str">
        <f ca="1">IF(ISERROR($V1476),"",OFFSET('Smelter Look-up'!$C$4,$V1476-4,0)&amp;"")</f>
        <v/>
      </c>
      <c r="S1476" s="215" t="str">
        <f t="shared" ca="1" si="210"/>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si="211"/>
        <v>0</v>
      </c>
      <c r="Y1476" s="263"/>
      <c r="Z1476" s="263"/>
      <c r="AB1476" s="265" t="str">
        <f t="shared" si="212"/>
        <v/>
      </c>
    </row>
    <row r="1477" spans="1:28" s="264" customFormat="1" ht="20.399999999999999">
      <c r="A1477" s="207"/>
      <c r="B1477" s="208"/>
      <c r="C1477" s="212"/>
      <c r="D1477" s="270"/>
      <c r="E1477" s="208"/>
      <c r="F1477" s="208"/>
      <c r="G1477" s="208"/>
      <c r="H1477" s="209"/>
      <c r="I1477" s="210"/>
      <c r="J1477" s="210"/>
      <c r="K1477" s="260"/>
      <c r="L1477" s="260"/>
      <c r="M1477" s="260"/>
      <c r="N1477" s="260"/>
      <c r="O1477" s="260"/>
      <c r="P1477" s="211"/>
      <c r="Q1477" s="261"/>
      <c r="R1477" s="208" t="str">
        <f ca="1">IF(ISERROR($V1477),"",OFFSET('Smelter Look-up'!$C$4,$V1477-4,0)&amp;"")</f>
        <v/>
      </c>
      <c r="S1477" s="215" t="str">
        <f t="shared" ca="1" si="210"/>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si="211"/>
        <v>0</v>
      </c>
      <c r="Y1477" s="263"/>
      <c r="Z1477" s="263"/>
      <c r="AB1477" s="265" t="str">
        <f t="shared" si="212"/>
        <v/>
      </c>
    </row>
    <row r="1478" spans="1:28" s="264" customFormat="1" ht="20.399999999999999">
      <c r="A1478" s="207"/>
      <c r="B1478" s="208"/>
      <c r="C1478" s="212"/>
      <c r="D1478" s="270"/>
      <c r="E1478" s="208"/>
      <c r="F1478" s="208"/>
      <c r="G1478" s="208"/>
      <c r="H1478" s="209"/>
      <c r="I1478" s="210"/>
      <c r="J1478" s="210"/>
      <c r="K1478" s="260"/>
      <c r="L1478" s="260"/>
      <c r="M1478" s="260"/>
      <c r="N1478" s="260"/>
      <c r="O1478" s="260"/>
      <c r="P1478" s="211"/>
      <c r="Q1478" s="261"/>
      <c r="R1478" s="208" t="str">
        <f ca="1">IF(ISERROR($V1478),"",OFFSET('Smelter Look-up'!$C$4,$V1478-4,0)&amp;"")</f>
        <v/>
      </c>
      <c r="S1478" s="215" t="str">
        <f t="shared" ca="1" si="210"/>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si="211"/>
        <v>0</v>
      </c>
      <c r="Y1478" s="263"/>
      <c r="Z1478" s="263"/>
      <c r="AB1478" s="265" t="str">
        <f t="shared" si="212"/>
        <v/>
      </c>
    </row>
    <row r="1479" spans="1:28" s="264" customFormat="1" ht="20.399999999999999">
      <c r="A1479" s="207"/>
      <c r="B1479" s="208"/>
      <c r="C1479" s="212"/>
      <c r="D1479" s="270"/>
      <c r="E1479" s="208"/>
      <c r="F1479" s="208"/>
      <c r="G1479" s="208"/>
      <c r="H1479" s="209"/>
      <c r="I1479" s="210"/>
      <c r="J1479" s="210"/>
      <c r="K1479" s="260"/>
      <c r="L1479" s="260"/>
      <c r="M1479" s="260"/>
      <c r="N1479" s="260"/>
      <c r="O1479" s="260"/>
      <c r="P1479" s="211"/>
      <c r="Q1479" s="261"/>
      <c r="R1479" s="208" t="str">
        <f ca="1">IF(ISERROR($V1479),"",OFFSET('Smelter Look-up'!$C$4,$V1479-4,0)&amp;"")</f>
        <v/>
      </c>
      <c r="S1479" s="215" t="str">
        <f t="shared" ca="1" si="210"/>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si="211"/>
        <v>0</v>
      </c>
      <c r="Y1479" s="263"/>
      <c r="Z1479" s="263"/>
      <c r="AB1479" s="265" t="str">
        <f t="shared" si="212"/>
        <v/>
      </c>
    </row>
    <row r="1480" spans="1:28" s="264" customFormat="1" ht="20.399999999999999">
      <c r="A1480" s="207"/>
      <c r="B1480" s="208"/>
      <c r="C1480" s="212"/>
      <c r="D1480" s="270"/>
      <c r="E1480" s="208"/>
      <c r="F1480" s="208"/>
      <c r="G1480" s="208"/>
      <c r="H1480" s="209"/>
      <c r="I1480" s="210"/>
      <c r="J1480" s="210"/>
      <c r="K1480" s="260"/>
      <c r="L1480" s="260"/>
      <c r="M1480" s="260"/>
      <c r="N1480" s="260"/>
      <c r="O1480" s="260"/>
      <c r="P1480" s="211"/>
      <c r="Q1480" s="261"/>
      <c r="R1480" s="208" t="str">
        <f ca="1">IF(ISERROR($V1480),"",OFFSET('Smelter Look-up'!$C$4,$V1480-4,0)&amp;"")</f>
        <v/>
      </c>
      <c r="S1480" s="215" t="str">
        <f t="shared" ca="1" si="210"/>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si="211"/>
        <v>0</v>
      </c>
      <c r="Y1480" s="263"/>
      <c r="Z1480" s="263"/>
      <c r="AB1480" s="265" t="str">
        <f t="shared" si="212"/>
        <v/>
      </c>
    </row>
    <row r="1481" spans="1:28" s="264" customFormat="1" ht="20.399999999999999">
      <c r="A1481" s="207"/>
      <c r="B1481" s="208"/>
      <c r="C1481" s="212"/>
      <c r="D1481" s="270"/>
      <c r="E1481" s="208"/>
      <c r="F1481" s="208"/>
      <c r="G1481" s="208"/>
      <c r="H1481" s="209"/>
      <c r="I1481" s="210"/>
      <c r="J1481" s="210"/>
      <c r="K1481" s="260"/>
      <c r="L1481" s="260"/>
      <c r="M1481" s="260"/>
      <c r="N1481" s="260"/>
      <c r="O1481" s="260"/>
      <c r="P1481" s="211"/>
      <c r="Q1481" s="261"/>
      <c r="R1481" s="208" t="str">
        <f ca="1">IF(ISERROR($V1481),"",OFFSET('Smelter Look-up'!$C$4,$V1481-4,0)&amp;"")</f>
        <v/>
      </c>
      <c r="S1481" s="215" t="str">
        <f t="shared" ca="1" si="210"/>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si="211"/>
        <v>0</v>
      </c>
      <c r="Y1481" s="263"/>
      <c r="Z1481" s="263"/>
      <c r="AB1481" s="265" t="str">
        <f t="shared" si="212"/>
        <v/>
      </c>
    </row>
    <row r="1482" spans="1:28" s="264" customFormat="1" ht="20.399999999999999">
      <c r="A1482" s="207"/>
      <c r="B1482" s="208"/>
      <c r="C1482" s="212"/>
      <c r="D1482" s="270"/>
      <c r="E1482" s="208"/>
      <c r="F1482" s="208"/>
      <c r="G1482" s="208"/>
      <c r="H1482" s="209"/>
      <c r="I1482" s="210"/>
      <c r="J1482" s="210"/>
      <c r="K1482" s="260"/>
      <c r="L1482" s="260"/>
      <c r="M1482" s="260"/>
      <c r="N1482" s="260"/>
      <c r="O1482" s="260"/>
      <c r="P1482" s="211"/>
      <c r="Q1482" s="261"/>
      <c r="R1482" s="208" t="str">
        <f ca="1">IF(ISERROR($V1482),"",OFFSET('Smelter Look-up'!$C$4,$V1482-4,0)&amp;"")</f>
        <v/>
      </c>
      <c r="S1482" s="215" t="str">
        <f t="shared" ca="1" si="210"/>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si="211"/>
        <v>0</v>
      </c>
      <c r="Y1482" s="263"/>
      <c r="Z1482" s="263"/>
      <c r="AB1482" s="265" t="str">
        <f t="shared" si="212"/>
        <v/>
      </c>
    </row>
    <row r="1483" spans="1:28" s="264" customFormat="1" ht="20.399999999999999">
      <c r="A1483" s="207"/>
      <c r="B1483" s="208"/>
      <c r="C1483" s="212"/>
      <c r="D1483" s="270"/>
      <c r="E1483" s="208"/>
      <c r="F1483" s="208"/>
      <c r="G1483" s="208"/>
      <c r="H1483" s="209"/>
      <c r="I1483" s="210"/>
      <c r="J1483" s="210"/>
      <c r="K1483" s="260"/>
      <c r="L1483" s="260"/>
      <c r="M1483" s="260"/>
      <c r="N1483" s="260"/>
      <c r="O1483" s="260"/>
      <c r="P1483" s="211"/>
      <c r="Q1483" s="261"/>
      <c r="R1483" s="208" t="str">
        <f ca="1">IF(ISERROR($V1483),"",OFFSET('Smelter Look-up'!$C$4,$V1483-4,0)&amp;"")</f>
        <v/>
      </c>
      <c r="S1483" s="215" t="str">
        <f t="shared" ca="1" si="210"/>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si="211"/>
        <v>0</v>
      </c>
      <c r="Y1483" s="263"/>
      <c r="Z1483" s="263"/>
      <c r="AB1483" s="265" t="str">
        <f t="shared" si="212"/>
        <v/>
      </c>
    </row>
    <row r="1484" spans="1:28" s="264" customFormat="1" ht="20.399999999999999">
      <c r="A1484" s="207"/>
      <c r="B1484" s="208"/>
      <c r="C1484" s="212"/>
      <c r="D1484" s="270"/>
      <c r="E1484" s="208"/>
      <c r="F1484" s="208"/>
      <c r="G1484" s="208"/>
      <c r="H1484" s="209"/>
      <c r="I1484" s="210"/>
      <c r="J1484" s="210"/>
      <c r="K1484" s="260"/>
      <c r="L1484" s="260"/>
      <c r="M1484" s="260"/>
      <c r="N1484" s="260"/>
      <c r="O1484" s="260"/>
      <c r="P1484" s="211"/>
      <c r="Q1484" s="261"/>
      <c r="R1484" s="208" t="str">
        <f ca="1">IF(ISERROR($V1484),"",OFFSET('Smelter Look-up'!$C$4,$V1484-4,0)&amp;"")</f>
        <v/>
      </c>
      <c r="S1484" s="215" t="str">
        <f t="shared" ca="1" si="210"/>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si="211"/>
        <v>0</v>
      </c>
      <c r="Y1484" s="263"/>
      <c r="Z1484" s="263"/>
      <c r="AB1484" s="265" t="str">
        <f t="shared" si="212"/>
        <v/>
      </c>
    </row>
    <row r="1485" spans="1:28" s="264" customFormat="1" ht="20.399999999999999">
      <c r="A1485" s="207"/>
      <c r="B1485" s="208"/>
      <c r="C1485" s="212"/>
      <c r="D1485" s="270"/>
      <c r="E1485" s="208"/>
      <c r="F1485" s="208"/>
      <c r="G1485" s="208"/>
      <c r="H1485" s="209"/>
      <c r="I1485" s="210"/>
      <c r="J1485" s="210"/>
      <c r="K1485" s="260"/>
      <c r="L1485" s="260"/>
      <c r="M1485" s="260"/>
      <c r="N1485" s="260"/>
      <c r="O1485" s="260"/>
      <c r="P1485" s="211"/>
      <c r="Q1485" s="261"/>
      <c r="R1485" s="208" t="str">
        <f ca="1">IF(ISERROR($V1485),"",OFFSET('Smelter Look-up'!$C$4,$V1485-4,0)&amp;"")</f>
        <v/>
      </c>
      <c r="S1485" s="215" t="str">
        <f t="shared" ca="1" si="210"/>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si="211"/>
        <v>0</v>
      </c>
      <c r="Y1485" s="263"/>
      <c r="Z1485" s="263"/>
      <c r="AB1485" s="265" t="str">
        <f t="shared" si="212"/>
        <v/>
      </c>
    </row>
    <row r="1486" spans="1:28" s="264" customFormat="1" ht="20.399999999999999">
      <c r="A1486" s="207"/>
      <c r="B1486" s="208"/>
      <c r="C1486" s="212"/>
      <c r="D1486" s="270"/>
      <c r="E1486" s="208"/>
      <c r="F1486" s="208"/>
      <c r="G1486" s="208"/>
      <c r="H1486" s="209"/>
      <c r="I1486" s="210"/>
      <c r="J1486" s="210"/>
      <c r="K1486" s="260"/>
      <c r="L1486" s="260"/>
      <c r="M1486" s="260"/>
      <c r="N1486" s="260"/>
      <c r="O1486" s="260"/>
      <c r="P1486" s="211"/>
      <c r="Q1486" s="261"/>
      <c r="R1486" s="208" t="str">
        <f ca="1">IF(ISERROR($V1486),"",OFFSET('Smelter Look-up'!$C$4,$V1486-4,0)&amp;"")</f>
        <v/>
      </c>
      <c r="S1486" s="215" t="str">
        <f t="shared" ca="1" si="210"/>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si="211"/>
        <v>0</v>
      </c>
      <c r="Y1486" s="263"/>
      <c r="Z1486" s="263"/>
      <c r="AB1486" s="265" t="str">
        <f t="shared" si="212"/>
        <v/>
      </c>
    </row>
    <row r="1487" spans="1:28" s="264" customFormat="1" ht="20.399999999999999">
      <c r="A1487" s="207"/>
      <c r="B1487" s="208"/>
      <c r="C1487" s="212"/>
      <c r="D1487" s="270"/>
      <c r="E1487" s="208"/>
      <c r="F1487" s="208"/>
      <c r="G1487" s="208"/>
      <c r="H1487" s="209"/>
      <c r="I1487" s="210"/>
      <c r="J1487" s="210"/>
      <c r="K1487" s="260"/>
      <c r="L1487" s="260"/>
      <c r="M1487" s="260"/>
      <c r="N1487" s="260"/>
      <c r="O1487" s="260"/>
      <c r="P1487" s="211"/>
      <c r="Q1487" s="261"/>
      <c r="R1487" s="208" t="str">
        <f ca="1">IF(ISERROR($V1487),"",OFFSET('Smelter Look-up'!$C$4,$V1487-4,0)&amp;"")</f>
        <v/>
      </c>
      <c r="S1487" s="215" t="str">
        <f t="shared" ca="1" si="210"/>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si="211"/>
        <v>0</v>
      </c>
      <c r="Y1487" s="263"/>
      <c r="Z1487" s="263"/>
      <c r="AB1487" s="265" t="str">
        <f t="shared" si="212"/>
        <v/>
      </c>
    </row>
    <row r="1488" spans="1:28" s="264" customFormat="1" ht="20.399999999999999">
      <c r="A1488" s="207"/>
      <c r="B1488" s="208"/>
      <c r="C1488" s="212"/>
      <c r="D1488" s="270"/>
      <c r="E1488" s="208"/>
      <c r="F1488" s="208"/>
      <c r="G1488" s="208"/>
      <c r="H1488" s="209"/>
      <c r="I1488" s="210"/>
      <c r="J1488" s="210"/>
      <c r="K1488" s="260"/>
      <c r="L1488" s="260"/>
      <c r="M1488" s="260"/>
      <c r="N1488" s="260"/>
      <c r="O1488" s="260"/>
      <c r="P1488" s="211"/>
      <c r="Q1488" s="261"/>
      <c r="R1488" s="208" t="str">
        <f ca="1">IF(ISERROR($V1488),"",OFFSET('Smelter Look-up'!$C$4,$V1488-4,0)&amp;"")</f>
        <v/>
      </c>
      <c r="S1488" s="215" t="str">
        <f t="shared" ca="1" si="210"/>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si="211"/>
        <v>0</v>
      </c>
      <c r="Y1488" s="263"/>
      <c r="Z1488" s="263"/>
      <c r="AB1488" s="265" t="str">
        <f t="shared" si="212"/>
        <v/>
      </c>
    </row>
    <row r="1489" spans="1:28" s="264" customFormat="1" ht="20.399999999999999">
      <c r="A1489" s="207"/>
      <c r="B1489" s="208"/>
      <c r="C1489" s="212"/>
      <c r="D1489" s="270"/>
      <c r="E1489" s="208"/>
      <c r="F1489" s="208"/>
      <c r="G1489" s="208"/>
      <c r="H1489" s="209"/>
      <c r="I1489" s="210"/>
      <c r="J1489" s="210"/>
      <c r="K1489" s="260"/>
      <c r="L1489" s="260"/>
      <c r="M1489" s="260"/>
      <c r="N1489" s="260"/>
      <c r="O1489" s="260"/>
      <c r="P1489" s="211"/>
      <c r="Q1489" s="261"/>
      <c r="R1489" s="208" t="str">
        <f ca="1">IF(ISERROR($V1489),"",OFFSET('Smelter Look-up'!$C$4,$V1489-4,0)&amp;"")</f>
        <v/>
      </c>
      <c r="S1489" s="215" t="str">
        <f t="shared" ca="1" si="210"/>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si="211"/>
        <v>0</v>
      </c>
      <c r="Y1489" s="263"/>
      <c r="Z1489" s="263"/>
      <c r="AB1489" s="265" t="str">
        <f t="shared" si="212"/>
        <v/>
      </c>
    </row>
    <row r="1490" spans="1:28" s="264" customFormat="1" ht="20.399999999999999">
      <c r="A1490" s="207"/>
      <c r="B1490" s="208"/>
      <c r="C1490" s="212"/>
      <c r="D1490" s="270"/>
      <c r="E1490" s="208"/>
      <c r="F1490" s="208"/>
      <c r="G1490" s="208"/>
      <c r="H1490" s="209"/>
      <c r="I1490" s="210"/>
      <c r="J1490" s="210"/>
      <c r="K1490" s="260"/>
      <c r="L1490" s="260"/>
      <c r="M1490" s="260"/>
      <c r="N1490" s="260"/>
      <c r="O1490" s="260"/>
      <c r="P1490" s="211"/>
      <c r="Q1490" s="261"/>
      <c r="R1490" s="208" t="str">
        <f ca="1">IF(ISERROR($V1490),"",OFFSET('Smelter Look-up'!$C$4,$V1490-4,0)&amp;"")</f>
        <v/>
      </c>
      <c r="S1490" s="215" t="str">
        <f t="shared" ca="1" si="210"/>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si="211"/>
        <v>0</v>
      </c>
      <c r="Y1490" s="263"/>
      <c r="Z1490" s="263"/>
      <c r="AB1490" s="265" t="str">
        <f t="shared" si="212"/>
        <v/>
      </c>
    </row>
    <row r="1491" spans="1:28" s="264" customFormat="1" ht="20.399999999999999">
      <c r="A1491" s="207"/>
      <c r="B1491" s="208"/>
      <c r="C1491" s="212"/>
      <c r="D1491" s="270"/>
      <c r="E1491" s="208"/>
      <c r="F1491" s="208"/>
      <c r="G1491" s="208"/>
      <c r="H1491" s="209"/>
      <c r="I1491" s="210"/>
      <c r="J1491" s="210"/>
      <c r="K1491" s="260"/>
      <c r="L1491" s="260"/>
      <c r="M1491" s="260"/>
      <c r="N1491" s="260"/>
      <c r="O1491" s="260"/>
      <c r="P1491" s="211"/>
      <c r="Q1491" s="261"/>
      <c r="R1491" s="208" t="str">
        <f ca="1">IF(ISERROR($V1491),"",OFFSET('Smelter Look-up'!$C$4,$V1491-4,0)&amp;"")</f>
        <v/>
      </c>
      <c r="S1491" s="215" t="str">
        <f t="shared" ca="1" si="210"/>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si="211"/>
        <v>0</v>
      </c>
      <c r="Y1491" s="263"/>
      <c r="Z1491" s="263"/>
      <c r="AB1491" s="265" t="str">
        <f t="shared" si="212"/>
        <v/>
      </c>
    </row>
    <row r="1492" spans="1:28" s="264" customFormat="1" ht="20.399999999999999">
      <c r="A1492" s="207"/>
      <c r="B1492" s="208"/>
      <c r="C1492" s="212"/>
      <c r="D1492" s="270"/>
      <c r="E1492" s="208"/>
      <c r="F1492" s="208"/>
      <c r="G1492" s="208"/>
      <c r="H1492" s="209"/>
      <c r="I1492" s="210"/>
      <c r="J1492" s="210"/>
      <c r="K1492" s="260"/>
      <c r="L1492" s="260"/>
      <c r="M1492" s="260"/>
      <c r="N1492" s="260"/>
      <c r="O1492" s="260"/>
      <c r="P1492" s="211"/>
      <c r="Q1492" s="261"/>
      <c r="R1492" s="208" t="str">
        <f ca="1">IF(ISERROR($V1492),"",OFFSET('Smelter Look-up'!$C$4,$V1492-4,0)&amp;"")</f>
        <v/>
      </c>
      <c r="S1492" s="215" t="str">
        <f t="shared" ca="1" si="210"/>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si="211"/>
        <v>0</v>
      </c>
      <c r="Y1492" s="263"/>
      <c r="Z1492" s="263"/>
      <c r="AB1492" s="265" t="str">
        <f t="shared" si="212"/>
        <v/>
      </c>
    </row>
    <row r="1493" spans="1:28" s="264" customFormat="1" ht="20.399999999999999">
      <c r="A1493" s="207"/>
      <c r="B1493" s="208"/>
      <c r="C1493" s="212"/>
      <c r="D1493" s="270"/>
      <c r="E1493" s="208"/>
      <c r="F1493" s="208"/>
      <c r="G1493" s="208"/>
      <c r="H1493" s="209"/>
      <c r="I1493" s="210"/>
      <c r="J1493" s="210"/>
      <c r="K1493" s="260"/>
      <c r="L1493" s="260"/>
      <c r="M1493" s="260"/>
      <c r="N1493" s="260"/>
      <c r="O1493" s="260"/>
      <c r="P1493" s="211"/>
      <c r="Q1493" s="261"/>
      <c r="R1493" s="208" t="str">
        <f ca="1">IF(ISERROR($V1493),"",OFFSET('Smelter Look-up'!$C$4,$V1493-4,0)&amp;"")</f>
        <v/>
      </c>
      <c r="S1493" s="215" t="str">
        <f t="shared" ca="1" si="210"/>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si="211"/>
        <v>0</v>
      </c>
      <c r="Y1493" s="263"/>
      <c r="Z1493" s="263"/>
      <c r="AB1493" s="265" t="str">
        <f t="shared" si="212"/>
        <v/>
      </c>
    </row>
    <row r="1494" spans="1:28" s="264" customFormat="1" ht="20.399999999999999">
      <c r="A1494" s="207"/>
      <c r="B1494" s="208"/>
      <c r="C1494" s="212"/>
      <c r="D1494" s="270"/>
      <c r="E1494" s="208"/>
      <c r="F1494" s="208"/>
      <c r="G1494" s="208"/>
      <c r="H1494" s="209"/>
      <c r="I1494" s="210"/>
      <c r="J1494" s="210"/>
      <c r="K1494" s="260"/>
      <c r="L1494" s="260"/>
      <c r="M1494" s="260"/>
      <c r="N1494" s="260"/>
      <c r="O1494" s="260"/>
      <c r="P1494" s="211"/>
      <c r="Q1494" s="261"/>
      <c r="R1494" s="208" t="str">
        <f ca="1">IF(ISERROR($V1494),"",OFFSET('Smelter Look-up'!$C$4,$V1494-4,0)&amp;"")</f>
        <v/>
      </c>
      <c r="S1494" s="215" t="str">
        <f t="shared" ca="1" si="210"/>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si="211"/>
        <v>0</v>
      </c>
      <c r="Y1494" s="263"/>
      <c r="Z1494" s="263"/>
      <c r="AB1494" s="265" t="str">
        <f t="shared" si="212"/>
        <v/>
      </c>
    </row>
    <row r="1495" spans="1:28" s="264" customFormat="1" ht="20.399999999999999">
      <c r="A1495" s="207"/>
      <c r="B1495" s="208"/>
      <c r="C1495" s="212"/>
      <c r="D1495" s="270"/>
      <c r="E1495" s="208"/>
      <c r="F1495" s="208"/>
      <c r="G1495" s="208"/>
      <c r="H1495" s="209"/>
      <c r="I1495" s="210"/>
      <c r="J1495" s="210"/>
      <c r="K1495" s="260"/>
      <c r="L1495" s="260"/>
      <c r="M1495" s="260"/>
      <c r="N1495" s="260"/>
      <c r="O1495" s="260"/>
      <c r="P1495" s="211"/>
      <c r="Q1495" s="261"/>
      <c r="R1495" s="208" t="str">
        <f ca="1">IF(ISERROR($V1495),"",OFFSET('Smelter Look-up'!$C$4,$V1495-4,0)&amp;"")</f>
        <v/>
      </c>
      <c r="S1495" s="215" t="str">
        <f t="shared" ca="1" si="210"/>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si="211"/>
        <v>0</v>
      </c>
      <c r="Y1495" s="263"/>
      <c r="Z1495" s="263"/>
      <c r="AB1495" s="265" t="str">
        <f t="shared" si="212"/>
        <v/>
      </c>
    </row>
    <row r="1496" spans="1:28" s="264" customFormat="1" ht="20.399999999999999">
      <c r="A1496" s="207"/>
      <c r="B1496" s="208"/>
      <c r="C1496" s="212"/>
      <c r="D1496" s="270"/>
      <c r="E1496" s="208"/>
      <c r="F1496" s="208"/>
      <c r="G1496" s="208"/>
      <c r="H1496" s="209"/>
      <c r="I1496" s="210"/>
      <c r="J1496" s="210"/>
      <c r="K1496" s="260"/>
      <c r="L1496" s="260"/>
      <c r="M1496" s="260"/>
      <c r="N1496" s="260"/>
      <c r="O1496" s="260"/>
      <c r="P1496" s="211"/>
      <c r="Q1496" s="261"/>
      <c r="R1496" s="208" t="str">
        <f ca="1">IF(ISERROR($V1496),"",OFFSET('Smelter Look-up'!$C$4,$V1496-4,0)&amp;"")</f>
        <v/>
      </c>
      <c r="S1496" s="215" t="str">
        <f t="shared" ca="1" si="210"/>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si="211"/>
        <v>0</v>
      </c>
      <c r="Y1496" s="263"/>
      <c r="Z1496" s="263"/>
      <c r="AB1496" s="265" t="str">
        <f t="shared" si="212"/>
        <v/>
      </c>
    </row>
    <row r="1497" spans="1:28" s="264" customFormat="1" ht="20.399999999999999">
      <c r="A1497" s="207"/>
      <c r="B1497" s="208"/>
      <c r="C1497" s="212"/>
      <c r="D1497" s="270"/>
      <c r="E1497" s="208"/>
      <c r="F1497" s="208"/>
      <c r="G1497" s="208"/>
      <c r="H1497" s="209"/>
      <c r="I1497" s="210"/>
      <c r="J1497" s="210"/>
      <c r="K1497" s="260"/>
      <c r="L1497" s="260"/>
      <c r="M1497" s="260"/>
      <c r="N1497" s="260"/>
      <c r="O1497" s="260"/>
      <c r="P1497" s="211"/>
      <c r="Q1497" s="261"/>
      <c r="R1497" s="208" t="str">
        <f ca="1">IF(ISERROR($V1497),"",OFFSET('Smelter Look-up'!$C$4,$V1497-4,0)&amp;"")</f>
        <v/>
      </c>
      <c r="S1497" s="215" t="str">
        <f t="shared" ca="1" si="210"/>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si="211"/>
        <v>0</v>
      </c>
      <c r="Y1497" s="263"/>
      <c r="Z1497" s="263"/>
      <c r="AB1497" s="265" t="str">
        <f t="shared" si="212"/>
        <v/>
      </c>
    </row>
    <row r="1498" spans="1:28" s="264" customFormat="1" ht="20.399999999999999">
      <c r="A1498" s="207"/>
      <c r="B1498" s="208"/>
      <c r="C1498" s="212"/>
      <c r="D1498" s="270"/>
      <c r="E1498" s="208"/>
      <c r="F1498" s="208"/>
      <c r="G1498" s="208"/>
      <c r="H1498" s="209"/>
      <c r="I1498" s="210"/>
      <c r="J1498" s="210"/>
      <c r="K1498" s="260"/>
      <c r="L1498" s="260"/>
      <c r="M1498" s="260"/>
      <c r="N1498" s="260"/>
      <c r="O1498" s="260"/>
      <c r="P1498" s="211"/>
      <c r="Q1498" s="261"/>
      <c r="R1498" s="208" t="str">
        <f ca="1">IF(ISERROR($V1498),"",OFFSET('Smelter Look-up'!$C$4,$V1498-4,0)&amp;"")</f>
        <v/>
      </c>
      <c r="S1498" s="215" t="str">
        <f t="shared" ca="1" si="210"/>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si="211"/>
        <v>0</v>
      </c>
      <c r="Y1498" s="263"/>
      <c r="Z1498" s="263"/>
      <c r="AB1498" s="265" t="str">
        <f t="shared" si="212"/>
        <v/>
      </c>
    </row>
    <row r="1499" spans="1:28" s="264" customFormat="1" ht="20.399999999999999">
      <c r="A1499" s="207"/>
      <c r="B1499" s="208"/>
      <c r="C1499" s="212"/>
      <c r="D1499" s="270"/>
      <c r="E1499" s="208"/>
      <c r="F1499" s="208"/>
      <c r="G1499" s="208"/>
      <c r="H1499" s="209"/>
      <c r="I1499" s="210"/>
      <c r="J1499" s="210"/>
      <c r="K1499" s="260"/>
      <c r="L1499" s="260"/>
      <c r="M1499" s="260"/>
      <c r="N1499" s="260"/>
      <c r="O1499" s="260"/>
      <c r="P1499" s="211"/>
      <c r="Q1499" s="261"/>
      <c r="R1499" s="208" t="str">
        <f ca="1">IF(ISERROR($V1499),"",OFFSET('Smelter Look-up'!$C$4,$V1499-4,0)&amp;"")</f>
        <v/>
      </c>
      <c r="S1499" s="215" t="str">
        <f t="shared" ca="1" si="210"/>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si="211"/>
        <v>0</v>
      </c>
      <c r="Y1499" s="263"/>
      <c r="Z1499" s="263"/>
      <c r="AB1499" s="265" t="str">
        <f t="shared" si="212"/>
        <v/>
      </c>
    </row>
    <row r="1500" spans="1:28" s="264" customFormat="1" ht="20.399999999999999">
      <c r="A1500" s="207"/>
      <c r="B1500" s="208"/>
      <c r="C1500" s="212"/>
      <c r="D1500" s="270"/>
      <c r="E1500" s="208"/>
      <c r="F1500" s="208"/>
      <c r="G1500" s="208"/>
      <c r="H1500" s="209"/>
      <c r="I1500" s="210"/>
      <c r="J1500" s="210"/>
      <c r="K1500" s="260"/>
      <c r="L1500" s="260"/>
      <c r="M1500" s="260"/>
      <c r="N1500" s="260"/>
      <c r="O1500" s="260"/>
      <c r="P1500" s="211"/>
      <c r="Q1500" s="261"/>
      <c r="R1500" s="208" t="str">
        <f ca="1">IF(ISERROR($V1500),"",OFFSET('Smelter Look-up'!$C$4,$V1500-4,0)&amp;"")</f>
        <v/>
      </c>
      <c r="S1500" s="215" t="str">
        <f t="shared" ref="S1500:S1530" ca="1" si="213">IF(B1500="","",IF(ISERROR(MATCH($E1500,CL,0)),"Unknown",INDIRECT("'C'!$A$"&amp;MATCH($E1500,CL,0)+1)))</f>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ref="X1500:X1530" si="214">IF(AND(C1500="Smelter not listed",OR(LEN(D1500)=0,LEN(E1500)=0)),1,0)</f>
        <v>0</v>
      </c>
      <c r="Y1500" s="263"/>
      <c r="Z1500" s="263"/>
      <c r="AB1500" s="265" t="str">
        <f t="shared" ref="AB1500:AB1530" si="215">B1500&amp;C1500</f>
        <v/>
      </c>
    </row>
    <row r="1501" spans="1:28" s="264" customFormat="1" ht="20.399999999999999">
      <c r="A1501" s="207"/>
      <c r="B1501" s="208"/>
      <c r="C1501" s="212"/>
      <c r="D1501" s="270"/>
      <c r="E1501" s="208"/>
      <c r="F1501" s="208"/>
      <c r="G1501" s="208"/>
      <c r="H1501" s="209"/>
      <c r="I1501" s="210"/>
      <c r="J1501" s="210"/>
      <c r="K1501" s="260"/>
      <c r="L1501" s="260"/>
      <c r="M1501" s="260"/>
      <c r="N1501" s="260"/>
      <c r="O1501" s="260"/>
      <c r="P1501" s="211"/>
      <c r="Q1501" s="261"/>
      <c r="R1501" s="208" t="str">
        <f ca="1">IF(ISERROR($V1501),"",OFFSET('Smelter Look-up'!$C$4,$V1501-4,0)&amp;"")</f>
        <v/>
      </c>
      <c r="S1501" s="215" t="str">
        <f t="shared" ca="1" si="213"/>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si="214"/>
        <v>0</v>
      </c>
      <c r="Y1501" s="263"/>
      <c r="Z1501" s="263"/>
      <c r="AB1501" s="265" t="str">
        <f t="shared" si="215"/>
        <v/>
      </c>
    </row>
    <row r="1502" spans="1:28" s="264" customFormat="1" ht="20.399999999999999">
      <c r="A1502" s="207"/>
      <c r="B1502" s="208"/>
      <c r="C1502" s="212"/>
      <c r="D1502" s="270"/>
      <c r="E1502" s="208"/>
      <c r="F1502" s="208"/>
      <c r="G1502" s="208"/>
      <c r="H1502" s="209"/>
      <c r="I1502" s="210"/>
      <c r="J1502" s="210"/>
      <c r="K1502" s="260"/>
      <c r="L1502" s="260"/>
      <c r="M1502" s="260"/>
      <c r="N1502" s="260"/>
      <c r="O1502" s="260"/>
      <c r="P1502" s="211"/>
      <c r="Q1502" s="261"/>
      <c r="R1502" s="208" t="str">
        <f ca="1">IF(ISERROR($V1502),"",OFFSET('Smelter Look-up'!$C$4,$V1502-4,0)&amp;"")</f>
        <v/>
      </c>
      <c r="S1502" s="215" t="str">
        <f t="shared" ca="1" si="213"/>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si="214"/>
        <v>0</v>
      </c>
      <c r="Y1502" s="263"/>
      <c r="Z1502" s="263"/>
      <c r="AB1502" s="265" t="str">
        <f t="shared" si="215"/>
        <v/>
      </c>
    </row>
    <row r="1503" spans="1:28" s="264" customFormat="1" ht="20.399999999999999">
      <c r="A1503" s="207"/>
      <c r="B1503" s="208"/>
      <c r="C1503" s="212"/>
      <c r="D1503" s="270"/>
      <c r="E1503" s="208"/>
      <c r="F1503" s="208"/>
      <c r="G1503" s="208"/>
      <c r="H1503" s="209"/>
      <c r="I1503" s="210"/>
      <c r="J1503" s="210"/>
      <c r="K1503" s="260"/>
      <c r="L1503" s="260"/>
      <c r="M1503" s="260"/>
      <c r="N1503" s="260"/>
      <c r="O1503" s="260"/>
      <c r="P1503" s="211"/>
      <c r="Q1503" s="261"/>
      <c r="R1503" s="208" t="str">
        <f ca="1">IF(ISERROR($V1503),"",OFFSET('Smelter Look-up'!$C$4,$V1503-4,0)&amp;"")</f>
        <v/>
      </c>
      <c r="S1503" s="215" t="str">
        <f t="shared" ca="1" si="213"/>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si="214"/>
        <v>0</v>
      </c>
      <c r="Y1503" s="263"/>
      <c r="Z1503" s="263"/>
      <c r="AB1503" s="265" t="str">
        <f t="shared" si="215"/>
        <v/>
      </c>
    </row>
    <row r="1504" spans="1:28" s="264" customFormat="1" ht="20.399999999999999">
      <c r="A1504" s="207"/>
      <c r="B1504" s="208"/>
      <c r="C1504" s="212"/>
      <c r="D1504" s="270"/>
      <c r="E1504" s="208"/>
      <c r="F1504" s="208"/>
      <c r="G1504" s="208"/>
      <c r="H1504" s="209"/>
      <c r="I1504" s="210"/>
      <c r="J1504" s="210"/>
      <c r="K1504" s="260"/>
      <c r="L1504" s="260"/>
      <c r="M1504" s="260"/>
      <c r="N1504" s="260"/>
      <c r="O1504" s="260"/>
      <c r="P1504" s="211"/>
      <c r="Q1504" s="261"/>
      <c r="R1504" s="208" t="str">
        <f ca="1">IF(ISERROR($V1504),"",OFFSET('Smelter Look-up'!$C$4,$V1504-4,0)&amp;"")</f>
        <v/>
      </c>
      <c r="S1504" s="215" t="str">
        <f t="shared" ca="1" si="213"/>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si="214"/>
        <v>0</v>
      </c>
      <c r="Y1504" s="263"/>
      <c r="Z1504" s="263"/>
      <c r="AB1504" s="265" t="str">
        <f t="shared" si="215"/>
        <v/>
      </c>
    </row>
    <row r="1505" spans="1:28" s="264" customFormat="1" ht="20.399999999999999">
      <c r="A1505" s="207"/>
      <c r="B1505" s="208"/>
      <c r="C1505" s="212"/>
      <c r="D1505" s="270"/>
      <c r="E1505" s="208"/>
      <c r="F1505" s="208"/>
      <c r="G1505" s="208"/>
      <c r="H1505" s="209"/>
      <c r="I1505" s="210"/>
      <c r="J1505" s="210"/>
      <c r="K1505" s="260"/>
      <c r="L1505" s="260"/>
      <c r="M1505" s="260"/>
      <c r="N1505" s="260"/>
      <c r="O1505" s="260"/>
      <c r="P1505" s="211"/>
      <c r="Q1505" s="261"/>
      <c r="R1505" s="208" t="str">
        <f ca="1">IF(ISERROR($V1505),"",OFFSET('Smelter Look-up'!$C$4,$V1505-4,0)&amp;"")</f>
        <v/>
      </c>
      <c r="S1505" s="215" t="str">
        <f t="shared" ca="1" si="213"/>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si="214"/>
        <v>0</v>
      </c>
      <c r="Y1505" s="263"/>
      <c r="Z1505" s="263"/>
      <c r="AB1505" s="265" t="str">
        <f t="shared" si="215"/>
        <v/>
      </c>
    </row>
    <row r="1506" spans="1:28" s="264" customFormat="1" ht="20.399999999999999">
      <c r="A1506" s="207"/>
      <c r="B1506" s="208"/>
      <c r="C1506" s="212"/>
      <c r="D1506" s="270"/>
      <c r="E1506" s="208"/>
      <c r="F1506" s="208"/>
      <c r="G1506" s="208"/>
      <c r="H1506" s="209"/>
      <c r="I1506" s="210"/>
      <c r="J1506" s="210"/>
      <c r="K1506" s="260"/>
      <c r="L1506" s="260"/>
      <c r="M1506" s="260"/>
      <c r="N1506" s="260"/>
      <c r="O1506" s="260"/>
      <c r="P1506" s="211"/>
      <c r="Q1506" s="261"/>
      <c r="R1506" s="208" t="str">
        <f ca="1">IF(ISERROR($V1506),"",OFFSET('Smelter Look-up'!$C$4,$V1506-4,0)&amp;"")</f>
        <v/>
      </c>
      <c r="S1506" s="215" t="str">
        <f t="shared" ca="1" si="213"/>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si="214"/>
        <v>0</v>
      </c>
      <c r="Y1506" s="263"/>
      <c r="Z1506" s="263"/>
      <c r="AB1506" s="265" t="str">
        <f t="shared" si="215"/>
        <v/>
      </c>
    </row>
    <row r="1507" spans="1:28" s="264" customFormat="1" ht="20.399999999999999">
      <c r="A1507" s="207"/>
      <c r="B1507" s="208"/>
      <c r="C1507" s="212"/>
      <c r="D1507" s="270"/>
      <c r="E1507" s="208"/>
      <c r="F1507" s="208"/>
      <c r="G1507" s="208"/>
      <c r="H1507" s="209"/>
      <c r="I1507" s="210"/>
      <c r="J1507" s="210"/>
      <c r="K1507" s="260"/>
      <c r="L1507" s="260"/>
      <c r="M1507" s="260"/>
      <c r="N1507" s="260"/>
      <c r="O1507" s="260"/>
      <c r="P1507" s="211"/>
      <c r="Q1507" s="261"/>
      <c r="R1507" s="208" t="str">
        <f ca="1">IF(ISERROR($V1507),"",OFFSET('Smelter Look-up'!$C$4,$V1507-4,0)&amp;"")</f>
        <v/>
      </c>
      <c r="S1507" s="215" t="str">
        <f t="shared" ca="1" si="213"/>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si="214"/>
        <v>0</v>
      </c>
      <c r="Y1507" s="263"/>
      <c r="Z1507" s="263"/>
      <c r="AB1507" s="265" t="str">
        <f t="shared" si="215"/>
        <v/>
      </c>
    </row>
    <row r="1508" spans="1:28" s="264" customFormat="1" ht="20.399999999999999">
      <c r="A1508" s="207"/>
      <c r="B1508" s="208"/>
      <c r="C1508" s="212"/>
      <c r="D1508" s="270"/>
      <c r="E1508" s="208"/>
      <c r="F1508" s="208"/>
      <c r="G1508" s="208"/>
      <c r="H1508" s="209"/>
      <c r="I1508" s="210"/>
      <c r="J1508" s="210"/>
      <c r="K1508" s="260"/>
      <c r="L1508" s="260"/>
      <c r="M1508" s="260"/>
      <c r="N1508" s="260"/>
      <c r="O1508" s="260"/>
      <c r="P1508" s="211"/>
      <c r="Q1508" s="261"/>
      <c r="R1508" s="208" t="str">
        <f ca="1">IF(ISERROR($V1508),"",OFFSET('Smelter Look-up'!$C$4,$V1508-4,0)&amp;"")</f>
        <v/>
      </c>
      <c r="S1508" s="215" t="str">
        <f t="shared" ca="1" si="213"/>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si="214"/>
        <v>0</v>
      </c>
      <c r="Y1508" s="263"/>
      <c r="Z1508" s="263"/>
      <c r="AB1508" s="265" t="str">
        <f t="shared" si="215"/>
        <v/>
      </c>
    </row>
    <row r="1509" spans="1:28" s="264" customFormat="1" ht="20.399999999999999">
      <c r="A1509" s="207"/>
      <c r="B1509" s="208"/>
      <c r="C1509" s="212"/>
      <c r="D1509" s="270"/>
      <c r="E1509" s="208"/>
      <c r="F1509" s="208"/>
      <c r="G1509" s="208"/>
      <c r="H1509" s="209"/>
      <c r="I1509" s="210"/>
      <c r="J1509" s="210"/>
      <c r="K1509" s="260"/>
      <c r="L1509" s="260"/>
      <c r="M1509" s="260"/>
      <c r="N1509" s="260"/>
      <c r="O1509" s="260"/>
      <c r="P1509" s="211"/>
      <c r="Q1509" s="261"/>
      <c r="R1509" s="208" t="str">
        <f ca="1">IF(ISERROR($V1509),"",OFFSET('Smelter Look-up'!$C$4,$V1509-4,0)&amp;"")</f>
        <v/>
      </c>
      <c r="S1509" s="215" t="str">
        <f t="shared" ca="1" si="213"/>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si="214"/>
        <v>0</v>
      </c>
      <c r="Y1509" s="263"/>
      <c r="Z1509" s="263"/>
      <c r="AB1509" s="265" t="str">
        <f t="shared" si="215"/>
        <v/>
      </c>
    </row>
    <row r="1510" spans="1:28" s="264" customFormat="1" ht="20.399999999999999">
      <c r="A1510" s="207"/>
      <c r="B1510" s="208"/>
      <c r="C1510" s="212"/>
      <c r="D1510" s="270"/>
      <c r="E1510" s="208"/>
      <c r="F1510" s="208"/>
      <c r="G1510" s="208"/>
      <c r="H1510" s="209"/>
      <c r="I1510" s="210"/>
      <c r="J1510" s="210"/>
      <c r="K1510" s="260"/>
      <c r="L1510" s="260"/>
      <c r="M1510" s="260"/>
      <c r="N1510" s="260"/>
      <c r="O1510" s="260"/>
      <c r="P1510" s="211"/>
      <c r="Q1510" s="261"/>
      <c r="R1510" s="208" t="str">
        <f ca="1">IF(ISERROR($V1510),"",OFFSET('Smelter Look-up'!$C$4,$V1510-4,0)&amp;"")</f>
        <v/>
      </c>
      <c r="S1510" s="215" t="str">
        <f t="shared" ca="1" si="213"/>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si="214"/>
        <v>0</v>
      </c>
      <c r="Y1510" s="263"/>
      <c r="Z1510" s="263"/>
      <c r="AB1510" s="265" t="str">
        <f t="shared" si="215"/>
        <v/>
      </c>
    </row>
    <row r="1511" spans="1:28" s="264" customFormat="1" ht="20.399999999999999">
      <c r="A1511" s="207"/>
      <c r="B1511" s="208"/>
      <c r="C1511" s="212"/>
      <c r="D1511" s="270"/>
      <c r="E1511" s="208"/>
      <c r="F1511" s="208"/>
      <c r="G1511" s="208"/>
      <c r="H1511" s="209"/>
      <c r="I1511" s="210"/>
      <c r="J1511" s="210"/>
      <c r="K1511" s="260"/>
      <c r="L1511" s="260"/>
      <c r="M1511" s="260"/>
      <c r="N1511" s="260"/>
      <c r="O1511" s="260"/>
      <c r="P1511" s="211"/>
      <c r="Q1511" s="261"/>
      <c r="R1511" s="208" t="str">
        <f ca="1">IF(ISERROR($V1511),"",OFFSET('Smelter Look-up'!$C$4,$V1511-4,0)&amp;"")</f>
        <v/>
      </c>
      <c r="S1511" s="215" t="str">
        <f t="shared" ca="1" si="213"/>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si="214"/>
        <v>0</v>
      </c>
      <c r="Y1511" s="263"/>
      <c r="Z1511" s="263"/>
      <c r="AB1511" s="265" t="str">
        <f t="shared" si="215"/>
        <v/>
      </c>
    </row>
    <row r="1512" spans="1:28" s="264" customFormat="1" ht="20.399999999999999">
      <c r="A1512" s="207"/>
      <c r="B1512" s="208"/>
      <c r="C1512" s="212"/>
      <c r="D1512" s="270"/>
      <c r="E1512" s="208"/>
      <c r="F1512" s="208"/>
      <c r="G1512" s="208"/>
      <c r="H1512" s="209"/>
      <c r="I1512" s="210"/>
      <c r="J1512" s="210"/>
      <c r="K1512" s="260"/>
      <c r="L1512" s="260"/>
      <c r="M1512" s="260"/>
      <c r="N1512" s="260"/>
      <c r="O1512" s="260"/>
      <c r="P1512" s="211"/>
      <c r="Q1512" s="261"/>
      <c r="R1512" s="208" t="str">
        <f ca="1">IF(ISERROR($V1512),"",OFFSET('Smelter Look-up'!$C$4,$V1512-4,0)&amp;"")</f>
        <v/>
      </c>
      <c r="S1512" s="215" t="str">
        <f t="shared" ca="1" si="213"/>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si="214"/>
        <v>0</v>
      </c>
      <c r="Y1512" s="263"/>
      <c r="Z1512" s="263"/>
      <c r="AB1512" s="265" t="str">
        <f t="shared" si="215"/>
        <v/>
      </c>
    </row>
    <row r="1513" spans="1:28" s="264" customFormat="1" ht="20.399999999999999">
      <c r="A1513" s="207"/>
      <c r="B1513" s="208"/>
      <c r="C1513" s="212"/>
      <c r="D1513" s="270"/>
      <c r="E1513" s="208"/>
      <c r="F1513" s="208"/>
      <c r="G1513" s="208"/>
      <c r="H1513" s="209"/>
      <c r="I1513" s="210"/>
      <c r="J1513" s="210"/>
      <c r="K1513" s="260"/>
      <c r="L1513" s="260"/>
      <c r="M1513" s="260"/>
      <c r="N1513" s="260"/>
      <c r="O1513" s="260"/>
      <c r="P1513" s="211"/>
      <c r="Q1513" s="261"/>
      <c r="R1513" s="208" t="str">
        <f ca="1">IF(ISERROR($V1513),"",OFFSET('Smelter Look-up'!$C$4,$V1513-4,0)&amp;"")</f>
        <v/>
      </c>
      <c r="S1513" s="215" t="str">
        <f t="shared" ca="1" si="213"/>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si="214"/>
        <v>0</v>
      </c>
      <c r="Y1513" s="263"/>
      <c r="Z1513" s="263"/>
      <c r="AB1513" s="265" t="str">
        <f t="shared" si="215"/>
        <v/>
      </c>
    </row>
    <row r="1514" spans="1:28" s="264" customFormat="1" ht="20.399999999999999">
      <c r="A1514" s="207"/>
      <c r="B1514" s="208"/>
      <c r="C1514" s="212"/>
      <c r="D1514" s="270"/>
      <c r="E1514" s="208"/>
      <c r="F1514" s="208"/>
      <c r="G1514" s="208"/>
      <c r="H1514" s="209"/>
      <c r="I1514" s="210"/>
      <c r="J1514" s="210"/>
      <c r="K1514" s="260"/>
      <c r="L1514" s="260"/>
      <c r="M1514" s="260"/>
      <c r="N1514" s="260"/>
      <c r="O1514" s="260"/>
      <c r="P1514" s="211"/>
      <c r="Q1514" s="261"/>
      <c r="R1514" s="208" t="str">
        <f ca="1">IF(ISERROR($V1514),"",OFFSET('Smelter Look-up'!$C$4,$V1514-4,0)&amp;"")</f>
        <v/>
      </c>
      <c r="S1514" s="215" t="str">
        <f t="shared" ca="1" si="213"/>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si="214"/>
        <v>0</v>
      </c>
      <c r="Y1514" s="263"/>
      <c r="Z1514" s="263"/>
      <c r="AB1514" s="265" t="str">
        <f t="shared" si="215"/>
        <v/>
      </c>
    </row>
    <row r="1515" spans="1:28" s="264" customFormat="1" ht="20.399999999999999">
      <c r="A1515" s="207"/>
      <c r="B1515" s="208"/>
      <c r="C1515" s="212"/>
      <c r="D1515" s="270"/>
      <c r="E1515" s="208"/>
      <c r="F1515" s="208"/>
      <c r="G1515" s="208"/>
      <c r="H1515" s="209"/>
      <c r="I1515" s="210"/>
      <c r="J1515" s="210"/>
      <c r="K1515" s="260"/>
      <c r="L1515" s="260"/>
      <c r="M1515" s="260"/>
      <c r="N1515" s="260"/>
      <c r="O1515" s="260"/>
      <c r="P1515" s="211"/>
      <c r="Q1515" s="261"/>
      <c r="R1515" s="208" t="str">
        <f ca="1">IF(ISERROR($V1515),"",OFFSET('Smelter Look-up'!$C$4,$V1515-4,0)&amp;"")</f>
        <v/>
      </c>
      <c r="S1515" s="215" t="str">
        <f t="shared" ca="1" si="213"/>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si="214"/>
        <v>0</v>
      </c>
      <c r="Y1515" s="263"/>
      <c r="Z1515" s="263"/>
      <c r="AB1515" s="265" t="str">
        <f t="shared" si="215"/>
        <v/>
      </c>
    </row>
    <row r="1516" spans="1:28" s="264" customFormat="1" ht="20.399999999999999">
      <c r="A1516" s="207"/>
      <c r="B1516" s="208"/>
      <c r="C1516" s="212"/>
      <c r="D1516" s="270"/>
      <c r="E1516" s="208"/>
      <c r="F1516" s="208"/>
      <c r="G1516" s="208"/>
      <c r="H1516" s="209"/>
      <c r="I1516" s="210"/>
      <c r="J1516" s="210"/>
      <c r="K1516" s="260"/>
      <c r="L1516" s="260"/>
      <c r="M1516" s="260"/>
      <c r="N1516" s="260"/>
      <c r="O1516" s="260"/>
      <c r="P1516" s="211"/>
      <c r="Q1516" s="261"/>
      <c r="R1516" s="208" t="str">
        <f ca="1">IF(ISERROR($V1516),"",OFFSET('Smelter Look-up'!$C$4,$V1516-4,0)&amp;"")</f>
        <v/>
      </c>
      <c r="S1516" s="215" t="str">
        <f t="shared" ca="1" si="213"/>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si="214"/>
        <v>0</v>
      </c>
      <c r="Y1516" s="263"/>
      <c r="Z1516" s="263"/>
      <c r="AB1516" s="265" t="str">
        <f t="shared" si="215"/>
        <v/>
      </c>
    </row>
    <row r="1517" spans="1:28" s="264" customFormat="1" ht="20.399999999999999">
      <c r="A1517" s="207"/>
      <c r="B1517" s="208"/>
      <c r="C1517" s="212"/>
      <c r="D1517" s="270"/>
      <c r="E1517" s="208"/>
      <c r="F1517" s="208"/>
      <c r="G1517" s="208"/>
      <c r="H1517" s="209"/>
      <c r="I1517" s="210"/>
      <c r="J1517" s="210"/>
      <c r="K1517" s="260"/>
      <c r="L1517" s="260"/>
      <c r="M1517" s="260"/>
      <c r="N1517" s="260"/>
      <c r="O1517" s="260"/>
      <c r="P1517" s="211"/>
      <c r="Q1517" s="261"/>
      <c r="R1517" s="208" t="str">
        <f ca="1">IF(ISERROR($V1517),"",OFFSET('Smelter Look-up'!$C$4,$V1517-4,0)&amp;"")</f>
        <v/>
      </c>
      <c r="S1517" s="215" t="str">
        <f t="shared" ca="1" si="213"/>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si="214"/>
        <v>0</v>
      </c>
      <c r="Y1517" s="263"/>
      <c r="Z1517" s="263"/>
      <c r="AB1517" s="265" t="str">
        <f t="shared" si="215"/>
        <v/>
      </c>
    </row>
    <row r="1518" spans="1:28" s="264" customFormat="1" ht="20.399999999999999">
      <c r="A1518" s="207"/>
      <c r="B1518" s="208"/>
      <c r="C1518" s="212"/>
      <c r="D1518" s="270"/>
      <c r="E1518" s="208"/>
      <c r="F1518" s="208"/>
      <c r="G1518" s="208"/>
      <c r="H1518" s="209"/>
      <c r="I1518" s="210"/>
      <c r="J1518" s="210"/>
      <c r="K1518" s="260"/>
      <c r="L1518" s="260"/>
      <c r="M1518" s="260"/>
      <c r="N1518" s="260"/>
      <c r="O1518" s="260"/>
      <c r="P1518" s="211"/>
      <c r="Q1518" s="261"/>
      <c r="R1518" s="208" t="str">
        <f ca="1">IF(ISERROR($V1518),"",OFFSET('Smelter Look-up'!$C$4,$V1518-4,0)&amp;"")</f>
        <v/>
      </c>
      <c r="S1518" s="215" t="str">
        <f t="shared" ca="1" si="213"/>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si="214"/>
        <v>0</v>
      </c>
      <c r="Y1518" s="263"/>
      <c r="Z1518" s="263"/>
      <c r="AB1518" s="265" t="str">
        <f t="shared" si="215"/>
        <v/>
      </c>
    </row>
    <row r="1519" spans="1:28" s="264" customFormat="1" ht="20.399999999999999">
      <c r="A1519" s="207"/>
      <c r="B1519" s="208"/>
      <c r="C1519" s="212"/>
      <c r="D1519" s="270"/>
      <c r="E1519" s="208"/>
      <c r="F1519" s="208"/>
      <c r="G1519" s="208"/>
      <c r="H1519" s="209"/>
      <c r="I1519" s="210"/>
      <c r="J1519" s="210"/>
      <c r="K1519" s="260"/>
      <c r="L1519" s="260"/>
      <c r="M1519" s="260"/>
      <c r="N1519" s="260"/>
      <c r="O1519" s="260"/>
      <c r="P1519" s="211"/>
      <c r="Q1519" s="261"/>
      <c r="R1519" s="208" t="str">
        <f ca="1">IF(ISERROR($V1519),"",OFFSET('Smelter Look-up'!$C$4,$V1519-4,0)&amp;"")</f>
        <v/>
      </c>
      <c r="S1519" s="215" t="str">
        <f t="shared" ca="1" si="213"/>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si="214"/>
        <v>0</v>
      </c>
      <c r="Y1519" s="263"/>
      <c r="Z1519" s="263"/>
      <c r="AB1519" s="265" t="str">
        <f t="shared" si="215"/>
        <v/>
      </c>
    </row>
    <row r="1520" spans="1:28" s="264" customFormat="1" ht="20.399999999999999">
      <c r="A1520" s="207"/>
      <c r="B1520" s="208"/>
      <c r="C1520" s="212"/>
      <c r="D1520" s="270"/>
      <c r="E1520" s="208"/>
      <c r="F1520" s="208"/>
      <c r="G1520" s="208"/>
      <c r="H1520" s="209"/>
      <c r="I1520" s="210"/>
      <c r="J1520" s="210"/>
      <c r="K1520" s="260"/>
      <c r="L1520" s="260"/>
      <c r="M1520" s="260"/>
      <c r="N1520" s="260"/>
      <c r="O1520" s="260"/>
      <c r="P1520" s="211"/>
      <c r="Q1520" s="261"/>
      <c r="R1520" s="208" t="str">
        <f ca="1">IF(ISERROR($V1520),"",OFFSET('Smelter Look-up'!$C$4,$V1520-4,0)&amp;"")</f>
        <v/>
      </c>
      <c r="S1520" s="215" t="str">
        <f t="shared" ca="1" si="213"/>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si="214"/>
        <v>0</v>
      </c>
      <c r="Y1520" s="263"/>
      <c r="Z1520" s="263"/>
      <c r="AB1520" s="265" t="str">
        <f t="shared" si="215"/>
        <v/>
      </c>
    </row>
    <row r="1521" spans="1:28" s="264" customFormat="1" ht="20.399999999999999">
      <c r="A1521" s="207"/>
      <c r="B1521" s="208"/>
      <c r="C1521" s="212"/>
      <c r="D1521" s="270"/>
      <c r="E1521" s="208"/>
      <c r="F1521" s="208"/>
      <c r="G1521" s="208"/>
      <c r="H1521" s="209"/>
      <c r="I1521" s="210"/>
      <c r="J1521" s="210"/>
      <c r="K1521" s="260"/>
      <c r="L1521" s="260"/>
      <c r="M1521" s="260"/>
      <c r="N1521" s="260"/>
      <c r="O1521" s="260"/>
      <c r="P1521" s="211"/>
      <c r="Q1521" s="261"/>
      <c r="R1521" s="208" t="str">
        <f ca="1">IF(ISERROR($V1521),"",OFFSET('Smelter Look-up'!$C$4,$V1521-4,0)&amp;"")</f>
        <v/>
      </c>
      <c r="S1521" s="215" t="str">
        <f t="shared" ca="1" si="213"/>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si="214"/>
        <v>0</v>
      </c>
      <c r="Y1521" s="263"/>
      <c r="Z1521" s="263"/>
      <c r="AB1521" s="265" t="str">
        <f t="shared" si="215"/>
        <v/>
      </c>
    </row>
    <row r="1522" spans="1:28" s="264" customFormat="1" ht="20.399999999999999">
      <c r="A1522" s="207"/>
      <c r="B1522" s="208"/>
      <c r="C1522" s="212"/>
      <c r="D1522" s="270"/>
      <c r="E1522" s="208"/>
      <c r="F1522" s="208"/>
      <c r="G1522" s="208"/>
      <c r="H1522" s="209"/>
      <c r="I1522" s="210"/>
      <c r="J1522" s="210"/>
      <c r="K1522" s="260"/>
      <c r="L1522" s="260"/>
      <c r="M1522" s="260"/>
      <c r="N1522" s="260"/>
      <c r="O1522" s="260"/>
      <c r="P1522" s="211"/>
      <c r="Q1522" s="261"/>
      <c r="R1522" s="208" t="str">
        <f ca="1">IF(ISERROR($V1522),"",OFFSET('Smelter Look-up'!$C$4,$V1522-4,0)&amp;"")</f>
        <v/>
      </c>
      <c r="S1522" s="215" t="str">
        <f t="shared" ca="1" si="213"/>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si="214"/>
        <v>0</v>
      </c>
      <c r="Y1522" s="263"/>
      <c r="Z1522" s="263"/>
      <c r="AB1522" s="265" t="str">
        <f t="shared" si="215"/>
        <v/>
      </c>
    </row>
    <row r="1523" spans="1:28" s="264" customFormat="1" ht="20.399999999999999">
      <c r="A1523" s="207"/>
      <c r="B1523" s="208"/>
      <c r="C1523" s="212"/>
      <c r="D1523" s="270"/>
      <c r="E1523" s="208"/>
      <c r="F1523" s="208"/>
      <c r="G1523" s="208"/>
      <c r="H1523" s="209"/>
      <c r="I1523" s="210"/>
      <c r="J1523" s="210"/>
      <c r="K1523" s="260"/>
      <c r="L1523" s="260"/>
      <c r="M1523" s="260"/>
      <c r="N1523" s="260"/>
      <c r="O1523" s="260"/>
      <c r="P1523" s="211"/>
      <c r="Q1523" s="261"/>
      <c r="R1523" s="208" t="str">
        <f ca="1">IF(ISERROR($V1523),"",OFFSET('Smelter Look-up'!$C$4,$V1523-4,0)&amp;"")</f>
        <v/>
      </c>
      <c r="S1523" s="215" t="str">
        <f t="shared" ca="1" si="213"/>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si="214"/>
        <v>0</v>
      </c>
      <c r="Y1523" s="263"/>
      <c r="Z1523" s="263"/>
      <c r="AB1523" s="265" t="str">
        <f t="shared" si="215"/>
        <v/>
      </c>
    </row>
    <row r="1524" spans="1:28" s="264" customFormat="1" ht="20.399999999999999">
      <c r="A1524" s="207"/>
      <c r="B1524" s="208"/>
      <c r="C1524" s="212"/>
      <c r="D1524" s="270"/>
      <c r="E1524" s="208"/>
      <c r="F1524" s="208"/>
      <c r="G1524" s="208"/>
      <c r="H1524" s="209"/>
      <c r="I1524" s="210"/>
      <c r="J1524" s="210"/>
      <c r="K1524" s="260"/>
      <c r="L1524" s="260"/>
      <c r="M1524" s="260"/>
      <c r="N1524" s="260"/>
      <c r="O1524" s="260"/>
      <c r="P1524" s="211"/>
      <c r="Q1524" s="261"/>
      <c r="R1524" s="208" t="str">
        <f ca="1">IF(ISERROR($V1524),"",OFFSET('Smelter Look-up'!$C$4,$V1524-4,0)&amp;"")</f>
        <v/>
      </c>
      <c r="S1524" s="215" t="str">
        <f t="shared" ca="1" si="213"/>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si="214"/>
        <v>0</v>
      </c>
      <c r="Y1524" s="263"/>
      <c r="Z1524" s="263"/>
      <c r="AB1524" s="265" t="str">
        <f t="shared" si="215"/>
        <v/>
      </c>
    </row>
    <row r="1525" spans="1:28" s="264" customFormat="1" ht="20.399999999999999">
      <c r="A1525" s="207"/>
      <c r="B1525" s="208"/>
      <c r="C1525" s="212"/>
      <c r="D1525" s="270"/>
      <c r="E1525" s="208"/>
      <c r="F1525" s="208"/>
      <c r="G1525" s="208"/>
      <c r="H1525" s="209"/>
      <c r="I1525" s="210"/>
      <c r="J1525" s="210"/>
      <c r="K1525" s="260"/>
      <c r="L1525" s="260"/>
      <c r="M1525" s="260"/>
      <c r="N1525" s="260"/>
      <c r="O1525" s="260"/>
      <c r="P1525" s="211"/>
      <c r="Q1525" s="261"/>
      <c r="R1525" s="208" t="str">
        <f ca="1">IF(ISERROR($V1525),"",OFFSET('Smelter Look-up'!$C$4,$V1525-4,0)&amp;"")</f>
        <v/>
      </c>
      <c r="S1525" s="215" t="str">
        <f t="shared" ca="1" si="213"/>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si="214"/>
        <v>0</v>
      </c>
      <c r="Y1525" s="263"/>
      <c r="Z1525" s="263"/>
      <c r="AB1525" s="265" t="str">
        <f t="shared" si="215"/>
        <v/>
      </c>
    </row>
    <row r="1526" spans="1:28" s="264" customFormat="1" ht="20.399999999999999">
      <c r="A1526" s="207"/>
      <c r="B1526" s="208"/>
      <c r="C1526" s="212"/>
      <c r="D1526" s="270"/>
      <c r="E1526" s="208"/>
      <c r="F1526" s="208"/>
      <c r="G1526" s="208"/>
      <c r="H1526" s="209"/>
      <c r="I1526" s="210"/>
      <c r="J1526" s="210"/>
      <c r="K1526" s="260"/>
      <c r="L1526" s="260"/>
      <c r="M1526" s="260"/>
      <c r="N1526" s="260"/>
      <c r="O1526" s="260"/>
      <c r="P1526" s="211"/>
      <c r="Q1526" s="261"/>
      <c r="R1526" s="208" t="str">
        <f ca="1">IF(ISERROR($V1526),"",OFFSET('Smelter Look-up'!$C$4,$V1526-4,0)&amp;"")</f>
        <v/>
      </c>
      <c r="S1526" s="215" t="str">
        <f t="shared" ca="1" si="213"/>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si="214"/>
        <v>0</v>
      </c>
      <c r="Y1526" s="263"/>
      <c r="Z1526" s="263"/>
      <c r="AB1526" s="265" t="str">
        <f t="shared" si="215"/>
        <v/>
      </c>
    </row>
    <row r="1527" spans="1:28" s="264" customFormat="1" ht="20.399999999999999">
      <c r="A1527" s="207"/>
      <c r="B1527" s="208"/>
      <c r="C1527" s="212"/>
      <c r="D1527" s="270"/>
      <c r="E1527" s="208"/>
      <c r="F1527" s="208"/>
      <c r="G1527" s="208"/>
      <c r="H1527" s="209"/>
      <c r="I1527" s="210"/>
      <c r="J1527" s="210"/>
      <c r="K1527" s="260"/>
      <c r="L1527" s="260"/>
      <c r="M1527" s="260"/>
      <c r="N1527" s="260"/>
      <c r="O1527" s="260"/>
      <c r="P1527" s="211"/>
      <c r="Q1527" s="261"/>
      <c r="R1527" s="208" t="str">
        <f ca="1">IF(ISERROR($V1527),"",OFFSET('Smelter Look-up'!$C$4,$V1527-4,0)&amp;"")</f>
        <v/>
      </c>
      <c r="S1527" s="215" t="str">
        <f t="shared" ca="1" si="213"/>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si="214"/>
        <v>0</v>
      </c>
      <c r="Y1527" s="263"/>
      <c r="Z1527" s="263"/>
      <c r="AB1527" s="265" t="str">
        <f t="shared" si="215"/>
        <v/>
      </c>
    </row>
    <row r="1528" spans="1:28" s="264" customFormat="1" ht="20.399999999999999">
      <c r="A1528" s="207"/>
      <c r="B1528" s="208"/>
      <c r="C1528" s="212"/>
      <c r="D1528" s="270"/>
      <c r="E1528" s="208"/>
      <c r="F1528" s="208"/>
      <c r="G1528" s="208"/>
      <c r="H1528" s="209"/>
      <c r="I1528" s="210"/>
      <c r="J1528" s="210"/>
      <c r="K1528" s="260"/>
      <c r="L1528" s="260"/>
      <c r="M1528" s="260"/>
      <c r="N1528" s="260"/>
      <c r="O1528" s="260"/>
      <c r="P1528" s="211"/>
      <c r="Q1528" s="261"/>
      <c r="R1528" s="208" t="str">
        <f ca="1">IF(ISERROR($V1528),"",OFFSET('Smelter Look-up'!$C$4,$V1528-4,0)&amp;"")</f>
        <v/>
      </c>
      <c r="S1528" s="215" t="str">
        <f t="shared" ca="1" si="213"/>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si="214"/>
        <v>0</v>
      </c>
      <c r="Y1528" s="263"/>
      <c r="Z1528" s="263"/>
      <c r="AB1528" s="265" t="str">
        <f t="shared" si="215"/>
        <v/>
      </c>
    </row>
    <row r="1529" spans="1:28" s="264" customFormat="1" ht="20.399999999999999">
      <c r="A1529" s="207"/>
      <c r="B1529" s="208"/>
      <c r="C1529" s="212"/>
      <c r="D1529" s="270"/>
      <c r="E1529" s="208"/>
      <c r="F1529" s="208"/>
      <c r="G1529" s="208"/>
      <c r="H1529" s="209"/>
      <c r="I1529" s="210"/>
      <c r="J1529" s="210"/>
      <c r="K1529" s="260"/>
      <c r="L1529" s="260"/>
      <c r="M1529" s="260"/>
      <c r="N1529" s="260"/>
      <c r="O1529" s="260"/>
      <c r="P1529" s="211"/>
      <c r="Q1529" s="261"/>
      <c r="R1529" s="208" t="str">
        <f ca="1">IF(ISERROR($V1529),"",OFFSET('Smelter Look-up'!$C$4,$V1529-4,0)&amp;"")</f>
        <v/>
      </c>
      <c r="S1529" s="215" t="str">
        <f t="shared" ca="1" si="213"/>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si="214"/>
        <v>0</v>
      </c>
      <c r="Y1529" s="263"/>
      <c r="Z1529" s="263"/>
      <c r="AB1529" s="265" t="str">
        <f t="shared" si="215"/>
        <v/>
      </c>
    </row>
    <row r="1530" spans="1:28" s="264" customFormat="1" ht="20.399999999999999">
      <c r="A1530" s="207"/>
      <c r="B1530" s="208"/>
      <c r="C1530" s="212"/>
      <c r="D1530" s="270"/>
      <c r="E1530" s="208"/>
      <c r="F1530" s="208"/>
      <c r="G1530" s="208"/>
      <c r="H1530" s="209"/>
      <c r="I1530" s="210"/>
      <c r="J1530" s="210"/>
      <c r="K1530" s="260"/>
      <c r="L1530" s="260"/>
      <c r="M1530" s="260"/>
      <c r="N1530" s="260"/>
      <c r="O1530" s="260"/>
      <c r="P1530" s="211"/>
      <c r="Q1530" s="261"/>
      <c r="R1530" s="208" t="str">
        <f ca="1">IF(ISERROR($V1530),"",OFFSET('Smelter Look-up'!$C$4,$V1530-4,0)&amp;"")</f>
        <v/>
      </c>
      <c r="S1530" s="215" t="str">
        <f t="shared" ca="1" si="213"/>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si="214"/>
        <v>0</v>
      </c>
      <c r="Y1530" s="263"/>
      <c r="Z1530" s="263"/>
      <c r="AB1530" s="265" t="str">
        <f t="shared" si="215"/>
        <v/>
      </c>
    </row>
    <row r="1531" spans="1:28" s="264" customFormat="1" ht="20.399999999999999">
      <c r="A1531" s="207"/>
      <c r="B1531" s="208"/>
      <c r="C1531" s="212"/>
      <c r="D1531" s="270"/>
      <c r="E1531" s="208"/>
      <c r="F1531" s="208"/>
      <c r="G1531" s="208"/>
      <c r="H1531" s="209"/>
      <c r="I1531" s="210"/>
      <c r="J1531" s="210"/>
      <c r="K1531" s="260"/>
      <c r="L1531" s="260"/>
      <c r="M1531" s="260"/>
      <c r="N1531" s="260"/>
      <c r="O1531" s="260"/>
      <c r="P1531" s="211"/>
      <c r="Q1531" s="261"/>
      <c r="R1531" s="208" t="str">
        <f ca="1">IF(ISERROR($V1531),"",OFFSET('Smelter Look-up'!$C$4,$V1531-4,0)&amp;"")</f>
        <v/>
      </c>
      <c r="S1531" s="215" t="str">
        <f t="shared" ref="S1531" ca="1" si="216">IF(B1531="","",IF(ISERROR(MATCH($E1531,CL,0)),"Unknown",INDIRECT("'C'!$A$"&amp;MATCH($E1531,CL,0)+1)))</f>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ref="X1531" si="217">IF(AND(C1531="Smelter not listed",OR(LEN(D1531)=0,LEN(E1531)=0)),1,0)</f>
        <v>0</v>
      </c>
      <c r="Y1531" s="263"/>
      <c r="Z1531" s="263"/>
      <c r="AB1531" s="265" t="str">
        <f t="shared" ref="AB1531" si="218">B1531&amp;C1531</f>
        <v/>
      </c>
    </row>
    <row r="1532" spans="1:28" s="264" customFormat="1" ht="20.399999999999999">
      <c r="A1532" s="207"/>
      <c r="B1532" s="208"/>
      <c r="C1532" s="212"/>
      <c r="D1532" s="270"/>
      <c r="E1532" s="208"/>
      <c r="F1532" s="208"/>
      <c r="G1532" s="208"/>
      <c r="H1532" s="209"/>
      <c r="I1532" s="210"/>
      <c r="J1532" s="210"/>
      <c r="K1532" s="260"/>
      <c r="L1532" s="260"/>
      <c r="M1532" s="260"/>
      <c r="N1532" s="260"/>
      <c r="O1532" s="260"/>
      <c r="P1532" s="211"/>
      <c r="Q1532" s="261"/>
      <c r="R1532" s="208" t="str">
        <f ca="1">IF(ISERROR($V1532),"",OFFSET('Smelter Look-up'!$C$4,$V1532-4,0)&amp;"")</f>
        <v/>
      </c>
      <c r="S1532" s="215" t="str">
        <f t="shared" ref="S1532:S1563" ca="1" si="219">IF(B1532="","",IF(ISERROR(MATCH($E1532,CL,0)),"Unknown",INDIRECT("'C'!$A$"&amp;MATCH($E1532,CL,0)+1)))</f>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ref="X1532:X1563" si="220">IF(AND(C1532="Smelter not listed",OR(LEN(D1532)=0,LEN(E1532)=0)),1,0)</f>
        <v>0</v>
      </c>
      <c r="Y1532" s="263"/>
      <c r="Z1532" s="263"/>
      <c r="AB1532" s="265" t="str">
        <f t="shared" ref="AB1532:AB1563" si="221">B1532&amp;C1532</f>
        <v/>
      </c>
    </row>
    <row r="1533" spans="1:28" s="264" customFormat="1" ht="20.399999999999999">
      <c r="A1533" s="207"/>
      <c r="B1533" s="208"/>
      <c r="C1533" s="212"/>
      <c r="D1533" s="270"/>
      <c r="E1533" s="208"/>
      <c r="F1533" s="208"/>
      <c r="G1533" s="208"/>
      <c r="H1533" s="209"/>
      <c r="I1533" s="210"/>
      <c r="J1533" s="210"/>
      <c r="K1533" s="260"/>
      <c r="L1533" s="260"/>
      <c r="M1533" s="260"/>
      <c r="N1533" s="260"/>
      <c r="O1533" s="260"/>
      <c r="P1533" s="211"/>
      <c r="Q1533" s="261"/>
      <c r="R1533" s="208" t="str">
        <f ca="1">IF(ISERROR($V1533),"",OFFSET('Smelter Look-up'!$C$4,$V1533-4,0)&amp;"")</f>
        <v/>
      </c>
      <c r="S1533" s="215" t="str">
        <f t="shared" ca="1" si="219"/>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si="220"/>
        <v>0</v>
      </c>
      <c r="Y1533" s="263"/>
      <c r="Z1533" s="263"/>
      <c r="AB1533" s="265" t="str">
        <f t="shared" si="221"/>
        <v/>
      </c>
    </row>
    <row r="1534" spans="1:28" s="264" customFormat="1" ht="20.399999999999999">
      <c r="A1534" s="207"/>
      <c r="B1534" s="208"/>
      <c r="C1534" s="212"/>
      <c r="D1534" s="270"/>
      <c r="E1534" s="208"/>
      <c r="F1534" s="208"/>
      <c r="G1534" s="208"/>
      <c r="H1534" s="209"/>
      <c r="I1534" s="210"/>
      <c r="J1534" s="210"/>
      <c r="K1534" s="260"/>
      <c r="L1534" s="260"/>
      <c r="M1534" s="260"/>
      <c r="N1534" s="260"/>
      <c r="O1534" s="260"/>
      <c r="P1534" s="211"/>
      <c r="Q1534" s="261"/>
      <c r="R1534" s="208" t="str">
        <f ca="1">IF(ISERROR($V1534),"",OFFSET('Smelter Look-up'!$C$4,$V1534-4,0)&amp;"")</f>
        <v/>
      </c>
      <c r="S1534" s="215" t="str">
        <f t="shared" ca="1" si="219"/>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si="220"/>
        <v>0</v>
      </c>
      <c r="Y1534" s="263"/>
      <c r="Z1534" s="263"/>
      <c r="AB1534" s="265" t="str">
        <f t="shared" si="221"/>
        <v/>
      </c>
    </row>
    <row r="1535" spans="1:28" s="264" customFormat="1" ht="20.399999999999999">
      <c r="A1535" s="207"/>
      <c r="B1535" s="208"/>
      <c r="C1535" s="212"/>
      <c r="D1535" s="270"/>
      <c r="E1535" s="208"/>
      <c r="F1535" s="208"/>
      <c r="G1535" s="208"/>
      <c r="H1535" s="209"/>
      <c r="I1535" s="210"/>
      <c r="J1535" s="210"/>
      <c r="K1535" s="260"/>
      <c r="L1535" s="260"/>
      <c r="M1535" s="260"/>
      <c r="N1535" s="260"/>
      <c r="O1535" s="260"/>
      <c r="P1535" s="211"/>
      <c r="Q1535" s="261"/>
      <c r="R1535" s="208" t="str">
        <f ca="1">IF(ISERROR($V1535),"",OFFSET('Smelter Look-up'!$C$4,$V1535-4,0)&amp;"")</f>
        <v/>
      </c>
      <c r="S1535" s="215" t="str">
        <f t="shared" ca="1" si="219"/>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si="220"/>
        <v>0</v>
      </c>
      <c r="Y1535" s="263"/>
      <c r="Z1535" s="263"/>
      <c r="AB1535" s="265" t="str">
        <f t="shared" si="221"/>
        <v/>
      </c>
    </row>
    <row r="1536" spans="1:28" s="264" customFormat="1" ht="20.399999999999999">
      <c r="A1536" s="207"/>
      <c r="B1536" s="208"/>
      <c r="C1536" s="212"/>
      <c r="D1536" s="270"/>
      <c r="E1536" s="208"/>
      <c r="F1536" s="208"/>
      <c r="G1536" s="208"/>
      <c r="H1536" s="209"/>
      <c r="I1536" s="210"/>
      <c r="J1536" s="210"/>
      <c r="K1536" s="260"/>
      <c r="L1536" s="260"/>
      <c r="M1536" s="260"/>
      <c r="N1536" s="260"/>
      <c r="O1536" s="260"/>
      <c r="P1536" s="211"/>
      <c r="Q1536" s="261"/>
      <c r="R1536" s="208" t="str">
        <f ca="1">IF(ISERROR($V1536),"",OFFSET('Smelter Look-up'!$C$4,$V1536-4,0)&amp;"")</f>
        <v/>
      </c>
      <c r="S1536" s="215" t="str">
        <f t="shared" ca="1" si="219"/>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si="220"/>
        <v>0</v>
      </c>
      <c r="Y1536" s="263"/>
      <c r="Z1536" s="263"/>
      <c r="AB1536" s="265" t="str">
        <f t="shared" si="221"/>
        <v/>
      </c>
    </row>
    <row r="1537" spans="1:28" s="264" customFormat="1" ht="20.399999999999999">
      <c r="A1537" s="207"/>
      <c r="B1537" s="208"/>
      <c r="C1537" s="212"/>
      <c r="D1537" s="270"/>
      <c r="E1537" s="208"/>
      <c r="F1537" s="208"/>
      <c r="G1537" s="208"/>
      <c r="H1537" s="209"/>
      <c r="I1537" s="210"/>
      <c r="J1537" s="210"/>
      <c r="K1537" s="260"/>
      <c r="L1537" s="260"/>
      <c r="M1537" s="260"/>
      <c r="N1537" s="260"/>
      <c r="O1537" s="260"/>
      <c r="P1537" s="211"/>
      <c r="Q1537" s="261"/>
      <c r="R1537" s="208" t="str">
        <f ca="1">IF(ISERROR($V1537),"",OFFSET('Smelter Look-up'!$C$4,$V1537-4,0)&amp;"")</f>
        <v/>
      </c>
      <c r="S1537" s="215" t="str">
        <f t="shared" ca="1" si="219"/>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si="220"/>
        <v>0</v>
      </c>
      <c r="Y1537" s="263"/>
      <c r="Z1537" s="263"/>
      <c r="AB1537" s="265" t="str">
        <f t="shared" si="221"/>
        <v/>
      </c>
    </row>
    <row r="1538" spans="1:28" s="264" customFormat="1" ht="20.399999999999999">
      <c r="A1538" s="207"/>
      <c r="B1538" s="208"/>
      <c r="C1538" s="212"/>
      <c r="D1538" s="270"/>
      <c r="E1538" s="208"/>
      <c r="F1538" s="208"/>
      <c r="G1538" s="208"/>
      <c r="H1538" s="209"/>
      <c r="I1538" s="210"/>
      <c r="J1538" s="210"/>
      <c r="K1538" s="260"/>
      <c r="L1538" s="260"/>
      <c r="M1538" s="260"/>
      <c r="N1538" s="260"/>
      <c r="O1538" s="260"/>
      <c r="P1538" s="211"/>
      <c r="Q1538" s="261"/>
      <c r="R1538" s="208" t="str">
        <f ca="1">IF(ISERROR($V1538),"",OFFSET('Smelter Look-up'!$C$4,$V1538-4,0)&amp;"")</f>
        <v/>
      </c>
      <c r="S1538" s="215" t="str">
        <f t="shared" ca="1" si="219"/>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si="220"/>
        <v>0</v>
      </c>
      <c r="Y1538" s="263"/>
      <c r="Z1538" s="263"/>
      <c r="AB1538" s="265" t="str">
        <f t="shared" si="221"/>
        <v/>
      </c>
    </row>
    <row r="1539" spans="1:28" s="264" customFormat="1" ht="20.399999999999999">
      <c r="A1539" s="207"/>
      <c r="B1539" s="208"/>
      <c r="C1539" s="212"/>
      <c r="D1539" s="270"/>
      <c r="E1539" s="208"/>
      <c r="F1539" s="208"/>
      <c r="G1539" s="208"/>
      <c r="H1539" s="209"/>
      <c r="I1539" s="210"/>
      <c r="J1539" s="210"/>
      <c r="K1539" s="260"/>
      <c r="L1539" s="260"/>
      <c r="M1539" s="260"/>
      <c r="N1539" s="260"/>
      <c r="O1539" s="260"/>
      <c r="P1539" s="211"/>
      <c r="Q1539" s="261"/>
      <c r="R1539" s="208" t="str">
        <f ca="1">IF(ISERROR($V1539),"",OFFSET('Smelter Look-up'!$C$4,$V1539-4,0)&amp;"")</f>
        <v/>
      </c>
      <c r="S1539" s="215" t="str">
        <f t="shared" ca="1" si="219"/>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si="220"/>
        <v>0</v>
      </c>
      <c r="Y1539" s="263"/>
      <c r="Z1539" s="263"/>
      <c r="AB1539" s="265" t="str">
        <f t="shared" si="221"/>
        <v/>
      </c>
    </row>
    <row r="1540" spans="1:28" s="264" customFormat="1" ht="20.399999999999999">
      <c r="A1540" s="207"/>
      <c r="B1540" s="208"/>
      <c r="C1540" s="212"/>
      <c r="D1540" s="270"/>
      <c r="E1540" s="208"/>
      <c r="F1540" s="208"/>
      <c r="G1540" s="208"/>
      <c r="H1540" s="209"/>
      <c r="I1540" s="210"/>
      <c r="J1540" s="210"/>
      <c r="K1540" s="260"/>
      <c r="L1540" s="260"/>
      <c r="M1540" s="260"/>
      <c r="N1540" s="260"/>
      <c r="O1540" s="260"/>
      <c r="P1540" s="211"/>
      <c r="Q1540" s="261"/>
      <c r="R1540" s="208" t="str">
        <f ca="1">IF(ISERROR($V1540),"",OFFSET('Smelter Look-up'!$C$4,$V1540-4,0)&amp;"")</f>
        <v/>
      </c>
      <c r="S1540" s="215" t="str">
        <f t="shared" ca="1" si="219"/>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si="220"/>
        <v>0</v>
      </c>
      <c r="Y1540" s="263"/>
      <c r="Z1540" s="263"/>
      <c r="AB1540" s="265" t="str">
        <f t="shared" si="221"/>
        <v/>
      </c>
    </row>
    <row r="1541" spans="1:28" s="264" customFormat="1" ht="20.399999999999999">
      <c r="A1541" s="207"/>
      <c r="B1541" s="208"/>
      <c r="C1541" s="212"/>
      <c r="D1541" s="270"/>
      <c r="E1541" s="208"/>
      <c r="F1541" s="208"/>
      <c r="G1541" s="208"/>
      <c r="H1541" s="209"/>
      <c r="I1541" s="210"/>
      <c r="J1541" s="210"/>
      <c r="K1541" s="260"/>
      <c r="L1541" s="260"/>
      <c r="M1541" s="260"/>
      <c r="N1541" s="260"/>
      <c r="O1541" s="260"/>
      <c r="P1541" s="211"/>
      <c r="Q1541" s="261"/>
      <c r="R1541" s="208" t="str">
        <f ca="1">IF(ISERROR($V1541),"",OFFSET('Smelter Look-up'!$C$4,$V1541-4,0)&amp;"")</f>
        <v/>
      </c>
      <c r="S1541" s="215" t="str">
        <f t="shared" ca="1" si="219"/>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si="220"/>
        <v>0</v>
      </c>
      <c r="Y1541" s="263"/>
      <c r="Z1541" s="263"/>
      <c r="AB1541" s="265" t="str">
        <f t="shared" si="221"/>
        <v/>
      </c>
    </row>
    <row r="1542" spans="1:28" s="264" customFormat="1" ht="20.399999999999999">
      <c r="A1542" s="207"/>
      <c r="B1542" s="208"/>
      <c r="C1542" s="212"/>
      <c r="D1542" s="270"/>
      <c r="E1542" s="208"/>
      <c r="F1542" s="208"/>
      <c r="G1542" s="208"/>
      <c r="H1542" s="209"/>
      <c r="I1542" s="210"/>
      <c r="J1542" s="210"/>
      <c r="K1542" s="260"/>
      <c r="L1542" s="260"/>
      <c r="M1542" s="260"/>
      <c r="N1542" s="260"/>
      <c r="O1542" s="260"/>
      <c r="P1542" s="211"/>
      <c r="Q1542" s="261"/>
      <c r="R1542" s="208" t="str">
        <f ca="1">IF(ISERROR($V1542),"",OFFSET('Smelter Look-up'!$C$4,$V1542-4,0)&amp;"")</f>
        <v/>
      </c>
      <c r="S1542" s="215" t="str">
        <f t="shared" ca="1" si="219"/>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si="220"/>
        <v>0</v>
      </c>
      <c r="Y1542" s="263"/>
      <c r="Z1542" s="263"/>
      <c r="AB1542" s="265" t="str">
        <f t="shared" si="221"/>
        <v/>
      </c>
    </row>
    <row r="1543" spans="1:28" s="264" customFormat="1" ht="20.399999999999999">
      <c r="A1543" s="207"/>
      <c r="B1543" s="208"/>
      <c r="C1543" s="212"/>
      <c r="D1543" s="270"/>
      <c r="E1543" s="208"/>
      <c r="F1543" s="208"/>
      <c r="G1543" s="208"/>
      <c r="H1543" s="209"/>
      <c r="I1543" s="210"/>
      <c r="J1543" s="210"/>
      <c r="K1543" s="260"/>
      <c r="L1543" s="260"/>
      <c r="M1543" s="260"/>
      <c r="N1543" s="260"/>
      <c r="O1543" s="260"/>
      <c r="P1543" s="211"/>
      <c r="Q1543" s="261"/>
      <c r="R1543" s="208" t="str">
        <f ca="1">IF(ISERROR($V1543),"",OFFSET('Smelter Look-up'!$C$4,$V1543-4,0)&amp;"")</f>
        <v/>
      </c>
      <c r="S1543" s="215" t="str">
        <f t="shared" ca="1" si="219"/>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si="220"/>
        <v>0</v>
      </c>
      <c r="Y1543" s="263"/>
      <c r="Z1543" s="263"/>
      <c r="AB1543" s="265" t="str">
        <f t="shared" si="221"/>
        <v/>
      </c>
    </row>
    <row r="1544" spans="1:28" s="264" customFormat="1" ht="20.399999999999999">
      <c r="A1544" s="207"/>
      <c r="B1544" s="208"/>
      <c r="C1544" s="212"/>
      <c r="D1544" s="270"/>
      <c r="E1544" s="208"/>
      <c r="F1544" s="208"/>
      <c r="G1544" s="208"/>
      <c r="H1544" s="209"/>
      <c r="I1544" s="210"/>
      <c r="J1544" s="210"/>
      <c r="K1544" s="260"/>
      <c r="L1544" s="260"/>
      <c r="M1544" s="260"/>
      <c r="N1544" s="260"/>
      <c r="O1544" s="260"/>
      <c r="P1544" s="211"/>
      <c r="Q1544" s="261"/>
      <c r="R1544" s="208" t="str">
        <f ca="1">IF(ISERROR($V1544),"",OFFSET('Smelter Look-up'!$C$4,$V1544-4,0)&amp;"")</f>
        <v/>
      </c>
      <c r="S1544" s="215" t="str">
        <f t="shared" ca="1" si="219"/>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si="220"/>
        <v>0</v>
      </c>
      <c r="Y1544" s="263"/>
      <c r="Z1544" s="263"/>
      <c r="AB1544" s="265" t="str">
        <f t="shared" si="221"/>
        <v/>
      </c>
    </row>
    <row r="1545" spans="1:28" s="264" customFormat="1" ht="20.399999999999999">
      <c r="A1545" s="207"/>
      <c r="B1545" s="208"/>
      <c r="C1545" s="212"/>
      <c r="D1545" s="270"/>
      <c r="E1545" s="208"/>
      <c r="F1545" s="208"/>
      <c r="G1545" s="208"/>
      <c r="H1545" s="209"/>
      <c r="I1545" s="210"/>
      <c r="J1545" s="210"/>
      <c r="K1545" s="260"/>
      <c r="L1545" s="260"/>
      <c r="M1545" s="260"/>
      <c r="N1545" s="260"/>
      <c r="O1545" s="260"/>
      <c r="P1545" s="211"/>
      <c r="Q1545" s="261"/>
      <c r="R1545" s="208" t="str">
        <f ca="1">IF(ISERROR($V1545),"",OFFSET('Smelter Look-up'!$C$4,$V1545-4,0)&amp;"")</f>
        <v/>
      </c>
      <c r="S1545" s="215" t="str">
        <f t="shared" ca="1" si="219"/>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si="220"/>
        <v>0</v>
      </c>
      <c r="Y1545" s="263"/>
      <c r="Z1545" s="263"/>
      <c r="AB1545" s="265" t="str">
        <f t="shared" si="221"/>
        <v/>
      </c>
    </row>
    <row r="1546" spans="1:28" s="264" customFormat="1" ht="20.399999999999999">
      <c r="A1546" s="207"/>
      <c r="B1546" s="208"/>
      <c r="C1546" s="212"/>
      <c r="D1546" s="270"/>
      <c r="E1546" s="208"/>
      <c r="F1546" s="208"/>
      <c r="G1546" s="208"/>
      <c r="H1546" s="209"/>
      <c r="I1546" s="210"/>
      <c r="J1546" s="210"/>
      <c r="K1546" s="260"/>
      <c r="L1546" s="260"/>
      <c r="M1546" s="260"/>
      <c r="N1546" s="260"/>
      <c r="O1546" s="260"/>
      <c r="P1546" s="211"/>
      <c r="Q1546" s="261"/>
      <c r="R1546" s="208" t="str">
        <f ca="1">IF(ISERROR($V1546),"",OFFSET('Smelter Look-up'!$C$4,$V1546-4,0)&amp;"")</f>
        <v/>
      </c>
      <c r="S1546" s="215" t="str">
        <f t="shared" ca="1" si="219"/>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si="220"/>
        <v>0</v>
      </c>
      <c r="Y1546" s="263"/>
      <c r="Z1546" s="263"/>
      <c r="AB1546" s="265" t="str">
        <f t="shared" si="221"/>
        <v/>
      </c>
    </row>
    <row r="1547" spans="1:28" s="264" customFormat="1" ht="20.399999999999999">
      <c r="A1547" s="207"/>
      <c r="B1547" s="208"/>
      <c r="C1547" s="212"/>
      <c r="D1547" s="270"/>
      <c r="E1547" s="208"/>
      <c r="F1547" s="208"/>
      <c r="G1547" s="208"/>
      <c r="H1547" s="209"/>
      <c r="I1547" s="210"/>
      <c r="J1547" s="210"/>
      <c r="K1547" s="260"/>
      <c r="L1547" s="260"/>
      <c r="M1547" s="260"/>
      <c r="N1547" s="260"/>
      <c r="O1547" s="260"/>
      <c r="P1547" s="211"/>
      <c r="Q1547" s="261"/>
      <c r="R1547" s="208" t="str">
        <f ca="1">IF(ISERROR($V1547),"",OFFSET('Smelter Look-up'!$C$4,$V1547-4,0)&amp;"")</f>
        <v/>
      </c>
      <c r="S1547" s="215" t="str">
        <f t="shared" ca="1" si="219"/>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si="220"/>
        <v>0</v>
      </c>
      <c r="Y1547" s="263"/>
      <c r="Z1547" s="263"/>
      <c r="AB1547" s="265" t="str">
        <f t="shared" si="221"/>
        <v/>
      </c>
    </row>
    <row r="1548" spans="1:28" s="264" customFormat="1" ht="20.399999999999999">
      <c r="A1548" s="207"/>
      <c r="B1548" s="208"/>
      <c r="C1548" s="212"/>
      <c r="D1548" s="270"/>
      <c r="E1548" s="208"/>
      <c r="F1548" s="208"/>
      <c r="G1548" s="208"/>
      <c r="H1548" s="209"/>
      <c r="I1548" s="210"/>
      <c r="J1548" s="210"/>
      <c r="K1548" s="260"/>
      <c r="L1548" s="260"/>
      <c r="M1548" s="260"/>
      <c r="N1548" s="260"/>
      <c r="O1548" s="260"/>
      <c r="P1548" s="211"/>
      <c r="Q1548" s="261"/>
      <c r="R1548" s="208" t="str">
        <f ca="1">IF(ISERROR($V1548),"",OFFSET('Smelter Look-up'!$C$4,$V1548-4,0)&amp;"")</f>
        <v/>
      </c>
      <c r="S1548" s="215" t="str">
        <f t="shared" ca="1" si="219"/>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si="220"/>
        <v>0</v>
      </c>
      <c r="Y1548" s="263"/>
      <c r="Z1548" s="263"/>
      <c r="AB1548" s="265" t="str">
        <f t="shared" si="221"/>
        <v/>
      </c>
    </row>
    <row r="1549" spans="1:28" s="264" customFormat="1" ht="20.399999999999999">
      <c r="A1549" s="207"/>
      <c r="B1549" s="208"/>
      <c r="C1549" s="212"/>
      <c r="D1549" s="270"/>
      <c r="E1549" s="208"/>
      <c r="F1549" s="208"/>
      <c r="G1549" s="208"/>
      <c r="H1549" s="209"/>
      <c r="I1549" s="210"/>
      <c r="J1549" s="210"/>
      <c r="K1549" s="260"/>
      <c r="L1549" s="260"/>
      <c r="M1549" s="260"/>
      <c r="N1549" s="260"/>
      <c r="O1549" s="260"/>
      <c r="P1549" s="211"/>
      <c r="Q1549" s="261"/>
      <c r="R1549" s="208" t="str">
        <f ca="1">IF(ISERROR($V1549),"",OFFSET('Smelter Look-up'!$C$4,$V1549-4,0)&amp;"")</f>
        <v/>
      </c>
      <c r="S1549" s="215" t="str">
        <f t="shared" ca="1" si="219"/>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si="220"/>
        <v>0</v>
      </c>
      <c r="Y1549" s="263"/>
      <c r="Z1549" s="263"/>
      <c r="AB1549" s="265" t="str">
        <f t="shared" si="221"/>
        <v/>
      </c>
    </row>
    <row r="1550" spans="1:28" s="264" customFormat="1" ht="20.399999999999999">
      <c r="A1550" s="207"/>
      <c r="B1550" s="208"/>
      <c r="C1550" s="212"/>
      <c r="D1550" s="270"/>
      <c r="E1550" s="208"/>
      <c r="F1550" s="208"/>
      <c r="G1550" s="208"/>
      <c r="H1550" s="209"/>
      <c r="I1550" s="210"/>
      <c r="J1550" s="210"/>
      <c r="K1550" s="260"/>
      <c r="L1550" s="260"/>
      <c r="M1550" s="260"/>
      <c r="N1550" s="260"/>
      <c r="O1550" s="260"/>
      <c r="P1550" s="211"/>
      <c r="Q1550" s="261"/>
      <c r="R1550" s="208" t="str">
        <f ca="1">IF(ISERROR($V1550),"",OFFSET('Smelter Look-up'!$C$4,$V1550-4,0)&amp;"")</f>
        <v/>
      </c>
      <c r="S1550" s="215" t="str">
        <f t="shared" ca="1" si="219"/>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si="220"/>
        <v>0</v>
      </c>
      <c r="Y1550" s="263"/>
      <c r="Z1550" s="263"/>
      <c r="AB1550" s="265" t="str">
        <f t="shared" si="221"/>
        <v/>
      </c>
    </row>
    <row r="1551" spans="1:28" s="264" customFormat="1" ht="20.399999999999999">
      <c r="A1551" s="207"/>
      <c r="B1551" s="208"/>
      <c r="C1551" s="212"/>
      <c r="D1551" s="270"/>
      <c r="E1551" s="208"/>
      <c r="F1551" s="208"/>
      <c r="G1551" s="208"/>
      <c r="H1551" s="209"/>
      <c r="I1551" s="210"/>
      <c r="J1551" s="210"/>
      <c r="K1551" s="260"/>
      <c r="L1551" s="260"/>
      <c r="M1551" s="260"/>
      <c r="N1551" s="260"/>
      <c r="O1551" s="260"/>
      <c r="P1551" s="211"/>
      <c r="Q1551" s="261"/>
      <c r="R1551" s="208" t="str">
        <f ca="1">IF(ISERROR($V1551),"",OFFSET('Smelter Look-up'!$C$4,$V1551-4,0)&amp;"")</f>
        <v/>
      </c>
      <c r="S1551" s="215" t="str">
        <f t="shared" ca="1" si="219"/>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si="220"/>
        <v>0</v>
      </c>
      <c r="Y1551" s="263"/>
      <c r="Z1551" s="263"/>
      <c r="AB1551" s="265" t="str">
        <f t="shared" si="221"/>
        <v/>
      </c>
    </row>
    <row r="1552" spans="1:28" s="264" customFormat="1" ht="20.399999999999999">
      <c r="A1552" s="207"/>
      <c r="B1552" s="208"/>
      <c r="C1552" s="212"/>
      <c r="D1552" s="270"/>
      <c r="E1552" s="208"/>
      <c r="F1552" s="208"/>
      <c r="G1552" s="208"/>
      <c r="H1552" s="209"/>
      <c r="I1552" s="210"/>
      <c r="J1552" s="210"/>
      <c r="K1552" s="260"/>
      <c r="L1552" s="260"/>
      <c r="M1552" s="260"/>
      <c r="N1552" s="260"/>
      <c r="O1552" s="260"/>
      <c r="P1552" s="211"/>
      <c r="Q1552" s="261"/>
      <c r="R1552" s="208" t="str">
        <f ca="1">IF(ISERROR($V1552),"",OFFSET('Smelter Look-up'!$C$4,$V1552-4,0)&amp;"")</f>
        <v/>
      </c>
      <c r="S1552" s="215" t="str">
        <f t="shared" ca="1" si="219"/>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si="220"/>
        <v>0</v>
      </c>
      <c r="Y1552" s="263"/>
      <c r="Z1552" s="263"/>
      <c r="AB1552" s="265" t="str">
        <f t="shared" si="221"/>
        <v/>
      </c>
    </row>
    <row r="1553" spans="1:28" s="264" customFormat="1" ht="20.399999999999999">
      <c r="A1553" s="207"/>
      <c r="B1553" s="208"/>
      <c r="C1553" s="212"/>
      <c r="D1553" s="270"/>
      <c r="E1553" s="208"/>
      <c r="F1553" s="208"/>
      <c r="G1553" s="208"/>
      <c r="H1553" s="209"/>
      <c r="I1553" s="210"/>
      <c r="J1553" s="210"/>
      <c r="K1553" s="260"/>
      <c r="L1553" s="260"/>
      <c r="M1553" s="260"/>
      <c r="N1553" s="260"/>
      <c r="O1553" s="260"/>
      <c r="P1553" s="211"/>
      <c r="Q1553" s="261"/>
      <c r="R1553" s="208" t="str">
        <f ca="1">IF(ISERROR($V1553),"",OFFSET('Smelter Look-up'!$C$4,$V1553-4,0)&amp;"")</f>
        <v/>
      </c>
      <c r="S1553" s="215" t="str">
        <f t="shared" ca="1" si="219"/>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si="220"/>
        <v>0</v>
      </c>
      <c r="Y1553" s="263"/>
      <c r="Z1553" s="263"/>
      <c r="AB1553" s="265" t="str">
        <f t="shared" si="221"/>
        <v/>
      </c>
    </row>
    <row r="1554" spans="1:28" s="264" customFormat="1" ht="20.399999999999999">
      <c r="A1554" s="207"/>
      <c r="B1554" s="208"/>
      <c r="C1554" s="212"/>
      <c r="D1554" s="270"/>
      <c r="E1554" s="208"/>
      <c r="F1554" s="208"/>
      <c r="G1554" s="208"/>
      <c r="H1554" s="209"/>
      <c r="I1554" s="210"/>
      <c r="J1554" s="210"/>
      <c r="K1554" s="260"/>
      <c r="L1554" s="260"/>
      <c r="M1554" s="260"/>
      <c r="N1554" s="260"/>
      <c r="O1554" s="260"/>
      <c r="P1554" s="211"/>
      <c r="Q1554" s="261"/>
      <c r="R1554" s="208" t="str">
        <f ca="1">IF(ISERROR($V1554),"",OFFSET('Smelter Look-up'!$C$4,$V1554-4,0)&amp;"")</f>
        <v/>
      </c>
      <c r="S1554" s="215" t="str">
        <f t="shared" ca="1" si="219"/>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si="220"/>
        <v>0</v>
      </c>
      <c r="Y1554" s="263"/>
      <c r="Z1554" s="263"/>
      <c r="AB1554" s="265" t="str">
        <f t="shared" si="221"/>
        <v/>
      </c>
    </row>
    <row r="1555" spans="1:28" s="264" customFormat="1" ht="20.399999999999999">
      <c r="A1555" s="207"/>
      <c r="B1555" s="208"/>
      <c r="C1555" s="212"/>
      <c r="D1555" s="270"/>
      <c r="E1555" s="208"/>
      <c r="F1555" s="208"/>
      <c r="G1555" s="208"/>
      <c r="H1555" s="209"/>
      <c r="I1555" s="210"/>
      <c r="J1555" s="210"/>
      <c r="K1555" s="260"/>
      <c r="L1555" s="260"/>
      <c r="M1555" s="260"/>
      <c r="N1555" s="260"/>
      <c r="O1555" s="260"/>
      <c r="P1555" s="211"/>
      <c r="Q1555" s="261"/>
      <c r="R1555" s="208" t="str">
        <f ca="1">IF(ISERROR($V1555),"",OFFSET('Smelter Look-up'!$C$4,$V1555-4,0)&amp;"")</f>
        <v/>
      </c>
      <c r="S1555" s="215" t="str">
        <f t="shared" ca="1" si="219"/>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si="220"/>
        <v>0</v>
      </c>
      <c r="Y1555" s="263"/>
      <c r="Z1555" s="263"/>
      <c r="AB1555" s="265" t="str">
        <f t="shared" si="221"/>
        <v/>
      </c>
    </row>
    <row r="1556" spans="1:28" s="264" customFormat="1" ht="20.399999999999999">
      <c r="A1556" s="207"/>
      <c r="B1556" s="208"/>
      <c r="C1556" s="212"/>
      <c r="D1556" s="270"/>
      <c r="E1556" s="208"/>
      <c r="F1556" s="208"/>
      <c r="G1556" s="208"/>
      <c r="H1556" s="209"/>
      <c r="I1556" s="210"/>
      <c r="J1556" s="210"/>
      <c r="K1556" s="260"/>
      <c r="L1556" s="260"/>
      <c r="M1556" s="260"/>
      <c r="N1556" s="260"/>
      <c r="O1556" s="260"/>
      <c r="P1556" s="211"/>
      <c r="Q1556" s="261"/>
      <c r="R1556" s="208" t="str">
        <f ca="1">IF(ISERROR($V1556),"",OFFSET('Smelter Look-up'!$C$4,$V1556-4,0)&amp;"")</f>
        <v/>
      </c>
      <c r="S1556" s="215" t="str">
        <f t="shared" ca="1" si="219"/>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si="220"/>
        <v>0</v>
      </c>
      <c r="Y1556" s="263"/>
      <c r="Z1556" s="263"/>
      <c r="AB1556" s="265" t="str">
        <f t="shared" si="221"/>
        <v/>
      </c>
    </row>
    <row r="1557" spans="1:28" s="264" customFormat="1" ht="20.399999999999999">
      <c r="A1557" s="207"/>
      <c r="B1557" s="208"/>
      <c r="C1557" s="212"/>
      <c r="D1557" s="270"/>
      <c r="E1557" s="208"/>
      <c r="F1557" s="208"/>
      <c r="G1557" s="208"/>
      <c r="H1557" s="209"/>
      <c r="I1557" s="210"/>
      <c r="J1557" s="210"/>
      <c r="K1557" s="260"/>
      <c r="L1557" s="260"/>
      <c r="M1557" s="260"/>
      <c r="N1557" s="260"/>
      <c r="O1557" s="260"/>
      <c r="P1557" s="211"/>
      <c r="Q1557" s="261"/>
      <c r="R1557" s="208" t="str">
        <f ca="1">IF(ISERROR($V1557),"",OFFSET('Smelter Look-up'!$C$4,$V1557-4,0)&amp;"")</f>
        <v/>
      </c>
      <c r="S1557" s="215" t="str">
        <f t="shared" ca="1" si="219"/>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si="220"/>
        <v>0</v>
      </c>
      <c r="Y1557" s="263"/>
      <c r="Z1557" s="263"/>
      <c r="AB1557" s="265" t="str">
        <f t="shared" si="221"/>
        <v/>
      </c>
    </row>
    <row r="1558" spans="1:28" s="264" customFormat="1" ht="20.399999999999999">
      <c r="A1558" s="207"/>
      <c r="B1558" s="208"/>
      <c r="C1558" s="212"/>
      <c r="D1558" s="270"/>
      <c r="E1558" s="208"/>
      <c r="F1558" s="208"/>
      <c r="G1558" s="208"/>
      <c r="H1558" s="209"/>
      <c r="I1558" s="210"/>
      <c r="J1558" s="210"/>
      <c r="K1558" s="260"/>
      <c r="L1558" s="260"/>
      <c r="M1558" s="260"/>
      <c r="N1558" s="260"/>
      <c r="O1558" s="260"/>
      <c r="P1558" s="211"/>
      <c r="Q1558" s="261"/>
      <c r="R1558" s="208" t="str">
        <f ca="1">IF(ISERROR($V1558),"",OFFSET('Smelter Look-up'!$C$4,$V1558-4,0)&amp;"")</f>
        <v/>
      </c>
      <c r="S1558" s="215" t="str">
        <f t="shared" ca="1" si="219"/>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si="220"/>
        <v>0</v>
      </c>
      <c r="Y1558" s="263"/>
      <c r="Z1558" s="263"/>
      <c r="AB1558" s="265" t="str">
        <f t="shared" si="221"/>
        <v/>
      </c>
    </row>
    <row r="1559" spans="1:28" s="264" customFormat="1" ht="20.399999999999999">
      <c r="A1559" s="207"/>
      <c r="B1559" s="208"/>
      <c r="C1559" s="212"/>
      <c r="D1559" s="270"/>
      <c r="E1559" s="208"/>
      <c r="F1559" s="208"/>
      <c r="G1559" s="208"/>
      <c r="H1559" s="209"/>
      <c r="I1559" s="210"/>
      <c r="J1559" s="210"/>
      <c r="K1559" s="260"/>
      <c r="L1559" s="260"/>
      <c r="M1559" s="260"/>
      <c r="N1559" s="260"/>
      <c r="O1559" s="260"/>
      <c r="P1559" s="211"/>
      <c r="Q1559" s="261"/>
      <c r="R1559" s="208" t="str">
        <f ca="1">IF(ISERROR($V1559),"",OFFSET('Smelter Look-up'!$C$4,$V1559-4,0)&amp;"")</f>
        <v/>
      </c>
      <c r="S1559" s="215" t="str">
        <f t="shared" ca="1" si="219"/>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si="220"/>
        <v>0</v>
      </c>
      <c r="Y1559" s="263"/>
      <c r="Z1559" s="263"/>
      <c r="AB1559" s="265" t="str">
        <f t="shared" si="221"/>
        <v/>
      </c>
    </row>
    <row r="1560" spans="1:28" s="264" customFormat="1" ht="20.399999999999999">
      <c r="A1560" s="207"/>
      <c r="B1560" s="208"/>
      <c r="C1560" s="212"/>
      <c r="D1560" s="270"/>
      <c r="E1560" s="208"/>
      <c r="F1560" s="208"/>
      <c r="G1560" s="208"/>
      <c r="H1560" s="209"/>
      <c r="I1560" s="210"/>
      <c r="J1560" s="210"/>
      <c r="K1560" s="260"/>
      <c r="L1560" s="260"/>
      <c r="M1560" s="260"/>
      <c r="N1560" s="260"/>
      <c r="O1560" s="260"/>
      <c r="P1560" s="211"/>
      <c r="Q1560" s="261"/>
      <c r="R1560" s="208" t="str">
        <f ca="1">IF(ISERROR($V1560),"",OFFSET('Smelter Look-up'!$C$4,$V1560-4,0)&amp;"")</f>
        <v/>
      </c>
      <c r="S1560" s="215" t="str">
        <f t="shared" ca="1" si="219"/>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si="220"/>
        <v>0</v>
      </c>
      <c r="Y1560" s="263"/>
      <c r="Z1560" s="263"/>
      <c r="AB1560" s="265" t="str">
        <f t="shared" si="221"/>
        <v/>
      </c>
    </row>
    <row r="1561" spans="1:28" s="264" customFormat="1" ht="20.399999999999999">
      <c r="A1561" s="207"/>
      <c r="B1561" s="208"/>
      <c r="C1561" s="212"/>
      <c r="D1561" s="270"/>
      <c r="E1561" s="208"/>
      <c r="F1561" s="208"/>
      <c r="G1561" s="208"/>
      <c r="H1561" s="209"/>
      <c r="I1561" s="210"/>
      <c r="J1561" s="210"/>
      <c r="K1561" s="260"/>
      <c r="L1561" s="260"/>
      <c r="M1561" s="260"/>
      <c r="N1561" s="260"/>
      <c r="O1561" s="260"/>
      <c r="P1561" s="211"/>
      <c r="Q1561" s="261"/>
      <c r="R1561" s="208" t="str">
        <f ca="1">IF(ISERROR($V1561),"",OFFSET('Smelter Look-up'!$C$4,$V1561-4,0)&amp;"")</f>
        <v/>
      </c>
      <c r="S1561" s="215" t="str">
        <f t="shared" ca="1" si="219"/>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si="220"/>
        <v>0</v>
      </c>
      <c r="Y1561" s="263"/>
      <c r="Z1561" s="263"/>
      <c r="AB1561" s="265" t="str">
        <f t="shared" si="221"/>
        <v/>
      </c>
    </row>
    <row r="1562" spans="1:28" s="264" customFormat="1" ht="20.399999999999999">
      <c r="A1562" s="207"/>
      <c r="B1562" s="208"/>
      <c r="C1562" s="212"/>
      <c r="D1562" s="270"/>
      <c r="E1562" s="208"/>
      <c r="F1562" s="208"/>
      <c r="G1562" s="208"/>
      <c r="H1562" s="209"/>
      <c r="I1562" s="210"/>
      <c r="J1562" s="210"/>
      <c r="K1562" s="260"/>
      <c r="L1562" s="260"/>
      <c r="M1562" s="260"/>
      <c r="N1562" s="260"/>
      <c r="O1562" s="260"/>
      <c r="P1562" s="211"/>
      <c r="Q1562" s="261"/>
      <c r="R1562" s="208" t="str">
        <f ca="1">IF(ISERROR($V1562),"",OFFSET('Smelter Look-up'!$C$4,$V1562-4,0)&amp;"")</f>
        <v/>
      </c>
      <c r="S1562" s="215" t="str">
        <f t="shared" ca="1" si="219"/>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si="220"/>
        <v>0</v>
      </c>
      <c r="Y1562" s="263"/>
      <c r="Z1562" s="263"/>
      <c r="AB1562" s="265" t="str">
        <f t="shared" si="221"/>
        <v/>
      </c>
    </row>
    <row r="1563" spans="1:28" s="264" customFormat="1" ht="20.399999999999999">
      <c r="A1563" s="207"/>
      <c r="B1563" s="208"/>
      <c r="C1563" s="212"/>
      <c r="D1563" s="270"/>
      <c r="E1563" s="208"/>
      <c r="F1563" s="208"/>
      <c r="G1563" s="208"/>
      <c r="H1563" s="209"/>
      <c r="I1563" s="210"/>
      <c r="J1563" s="210"/>
      <c r="K1563" s="260"/>
      <c r="L1563" s="260"/>
      <c r="M1563" s="260"/>
      <c r="N1563" s="260"/>
      <c r="O1563" s="260"/>
      <c r="P1563" s="211"/>
      <c r="Q1563" s="261"/>
      <c r="R1563" s="208" t="str">
        <f ca="1">IF(ISERROR($V1563),"",OFFSET('Smelter Look-up'!$C$4,$V1563-4,0)&amp;"")</f>
        <v/>
      </c>
      <c r="S1563" s="215" t="str">
        <f t="shared" ca="1" si="219"/>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si="220"/>
        <v>0</v>
      </c>
      <c r="Y1563" s="263"/>
      <c r="Z1563" s="263"/>
      <c r="AB1563" s="265" t="str">
        <f t="shared" si="221"/>
        <v/>
      </c>
    </row>
    <row r="1564" spans="1:28" s="264" customFormat="1" ht="20.399999999999999">
      <c r="A1564" s="207"/>
      <c r="B1564" s="208"/>
      <c r="C1564" s="212"/>
      <c r="D1564" s="270"/>
      <c r="E1564" s="208"/>
      <c r="F1564" s="208"/>
      <c r="G1564" s="208"/>
      <c r="H1564" s="209"/>
      <c r="I1564" s="210"/>
      <c r="J1564" s="210"/>
      <c r="K1564" s="260"/>
      <c r="L1564" s="260"/>
      <c r="M1564" s="260"/>
      <c r="N1564" s="260"/>
      <c r="O1564" s="260"/>
      <c r="P1564" s="211"/>
      <c r="Q1564" s="261"/>
      <c r="R1564" s="208" t="str">
        <f ca="1">IF(ISERROR($V1564),"",OFFSET('Smelter Look-up'!$C$4,$V1564-4,0)&amp;"")</f>
        <v/>
      </c>
      <c r="S1564" s="215" t="str">
        <f t="shared" ref="S1564:S1594" ca="1" si="222">IF(B1564="","",IF(ISERROR(MATCH($E1564,CL,0)),"Unknown",INDIRECT("'C'!$A$"&amp;MATCH($E1564,CL,0)+1)))</f>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ref="X1564:X1594" si="223">IF(AND(C1564="Smelter not listed",OR(LEN(D1564)=0,LEN(E1564)=0)),1,0)</f>
        <v>0</v>
      </c>
      <c r="Y1564" s="263"/>
      <c r="Z1564" s="263"/>
      <c r="AB1564" s="265" t="str">
        <f t="shared" ref="AB1564:AB1594" si="224">B1564&amp;C1564</f>
        <v/>
      </c>
    </row>
    <row r="1565" spans="1:28" s="264" customFormat="1" ht="20.399999999999999">
      <c r="A1565" s="207"/>
      <c r="B1565" s="208"/>
      <c r="C1565" s="212"/>
      <c r="D1565" s="270"/>
      <c r="E1565" s="208"/>
      <c r="F1565" s="208"/>
      <c r="G1565" s="208"/>
      <c r="H1565" s="209"/>
      <c r="I1565" s="210"/>
      <c r="J1565" s="210"/>
      <c r="K1565" s="260"/>
      <c r="L1565" s="260"/>
      <c r="M1565" s="260"/>
      <c r="N1565" s="260"/>
      <c r="O1565" s="260"/>
      <c r="P1565" s="211"/>
      <c r="Q1565" s="261"/>
      <c r="R1565" s="208" t="str">
        <f ca="1">IF(ISERROR($V1565),"",OFFSET('Smelter Look-up'!$C$4,$V1565-4,0)&amp;"")</f>
        <v/>
      </c>
      <c r="S1565" s="215" t="str">
        <f t="shared" ca="1" si="222"/>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si="223"/>
        <v>0</v>
      </c>
      <c r="Y1565" s="263"/>
      <c r="Z1565" s="263"/>
      <c r="AB1565" s="265" t="str">
        <f t="shared" si="224"/>
        <v/>
      </c>
    </row>
    <row r="1566" spans="1:28" s="264" customFormat="1" ht="20.399999999999999">
      <c r="A1566" s="207"/>
      <c r="B1566" s="208"/>
      <c r="C1566" s="212"/>
      <c r="D1566" s="270"/>
      <c r="E1566" s="208"/>
      <c r="F1566" s="208"/>
      <c r="G1566" s="208"/>
      <c r="H1566" s="209"/>
      <c r="I1566" s="210"/>
      <c r="J1566" s="210"/>
      <c r="K1566" s="260"/>
      <c r="L1566" s="260"/>
      <c r="M1566" s="260"/>
      <c r="N1566" s="260"/>
      <c r="O1566" s="260"/>
      <c r="P1566" s="211"/>
      <c r="Q1566" s="261"/>
      <c r="R1566" s="208" t="str">
        <f ca="1">IF(ISERROR($V1566),"",OFFSET('Smelter Look-up'!$C$4,$V1566-4,0)&amp;"")</f>
        <v/>
      </c>
      <c r="S1566" s="215" t="str">
        <f t="shared" ca="1" si="222"/>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si="223"/>
        <v>0</v>
      </c>
      <c r="Y1566" s="263"/>
      <c r="Z1566" s="263"/>
      <c r="AB1566" s="265" t="str">
        <f t="shared" si="224"/>
        <v/>
      </c>
    </row>
    <row r="1567" spans="1:28" s="264" customFormat="1" ht="20.399999999999999">
      <c r="A1567" s="207"/>
      <c r="B1567" s="208"/>
      <c r="C1567" s="212"/>
      <c r="D1567" s="270"/>
      <c r="E1567" s="208"/>
      <c r="F1567" s="208"/>
      <c r="G1567" s="208"/>
      <c r="H1567" s="209"/>
      <c r="I1567" s="210"/>
      <c r="J1567" s="210"/>
      <c r="K1567" s="260"/>
      <c r="L1567" s="260"/>
      <c r="M1567" s="260"/>
      <c r="N1567" s="260"/>
      <c r="O1567" s="260"/>
      <c r="P1567" s="211"/>
      <c r="Q1567" s="261"/>
      <c r="R1567" s="208" t="str">
        <f ca="1">IF(ISERROR($V1567),"",OFFSET('Smelter Look-up'!$C$4,$V1567-4,0)&amp;"")</f>
        <v/>
      </c>
      <c r="S1567" s="215" t="str">
        <f t="shared" ca="1" si="222"/>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si="223"/>
        <v>0</v>
      </c>
      <c r="Y1567" s="263"/>
      <c r="Z1567" s="263"/>
      <c r="AB1567" s="265" t="str">
        <f t="shared" si="224"/>
        <v/>
      </c>
    </row>
    <row r="1568" spans="1:28" s="264" customFormat="1" ht="20.399999999999999">
      <c r="A1568" s="207"/>
      <c r="B1568" s="208"/>
      <c r="C1568" s="212"/>
      <c r="D1568" s="270"/>
      <c r="E1568" s="208"/>
      <c r="F1568" s="208"/>
      <c r="G1568" s="208"/>
      <c r="H1568" s="209"/>
      <c r="I1568" s="210"/>
      <c r="J1568" s="210"/>
      <c r="K1568" s="260"/>
      <c r="L1568" s="260"/>
      <c r="M1568" s="260"/>
      <c r="N1568" s="260"/>
      <c r="O1568" s="260"/>
      <c r="P1568" s="211"/>
      <c r="Q1568" s="261"/>
      <c r="R1568" s="208" t="str">
        <f ca="1">IF(ISERROR($V1568),"",OFFSET('Smelter Look-up'!$C$4,$V1568-4,0)&amp;"")</f>
        <v/>
      </c>
      <c r="S1568" s="215" t="str">
        <f t="shared" ca="1" si="222"/>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si="223"/>
        <v>0</v>
      </c>
      <c r="Y1568" s="263"/>
      <c r="Z1568" s="263"/>
      <c r="AB1568" s="265" t="str">
        <f t="shared" si="224"/>
        <v/>
      </c>
    </row>
    <row r="1569" spans="1:28" s="264" customFormat="1" ht="20.399999999999999">
      <c r="A1569" s="207"/>
      <c r="B1569" s="208"/>
      <c r="C1569" s="212"/>
      <c r="D1569" s="270"/>
      <c r="E1569" s="208"/>
      <c r="F1569" s="208"/>
      <c r="G1569" s="208"/>
      <c r="H1569" s="209"/>
      <c r="I1569" s="210"/>
      <c r="J1569" s="210"/>
      <c r="K1569" s="260"/>
      <c r="L1569" s="260"/>
      <c r="M1569" s="260"/>
      <c r="N1569" s="260"/>
      <c r="O1569" s="260"/>
      <c r="P1569" s="211"/>
      <c r="Q1569" s="261"/>
      <c r="R1569" s="208" t="str">
        <f ca="1">IF(ISERROR($V1569),"",OFFSET('Smelter Look-up'!$C$4,$V1569-4,0)&amp;"")</f>
        <v/>
      </c>
      <c r="S1569" s="215" t="str">
        <f t="shared" ca="1" si="222"/>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si="223"/>
        <v>0</v>
      </c>
      <c r="Y1569" s="263"/>
      <c r="Z1569" s="263"/>
      <c r="AB1569" s="265" t="str">
        <f t="shared" si="224"/>
        <v/>
      </c>
    </row>
    <row r="1570" spans="1:28" s="264" customFormat="1" ht="20.399999999999999">
      <c r="A1570" s="207"/>
      <c r="B1570" s="208"/>
      <c r="C1570" s="212"/>
      <c r="D1570" s="270"/>
      <c r="E1570" s="208"/>
      <c r="F1570" s="208"/>
      <c r="G1570" s="208"/>
      <c r="H1570" s="209"/>
      <c r="I1570" s="210"/>
      <c r="J1570" s="210"/>
      <c r="K1570" s="260"/>
      <c r="L1570" s="260"/>
      <c r="M1570" s="260"/>
      <c r="N1570" s="260"/>
      <c r="O1570" s="260"/>
      <c r="P1570" s="211"/>
      <c r="Q1570" s="261"/>
      <c r="R1570" s="208" t="str">
        <f ca="1">IF(ISERROR($V1570),"",OFFSET('Smelter Look-up'!$C$4,$V1570-4,0)&amp;"")</f>
        <v/>
      </c>
      <c r="S1570" s="215" t="str">
        <f t="shared" ca="1" si="222"/>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si="223"/>
        <v>0</v>
      </c>
      <c r="Y1570" s="263"/>
      <c r="Z1570" s="263"/>
      <c r="AB1570" s="265" t="str">
        <f t="shared" si="224"/>
        <v/>
      </c>
    </row>
    <row r="1571" spans="1:28" s="264" customFormat="1" ht="20.399999999999999">
      <c r="A1571" s="207"/>
      <c r="B1571" s="208"/>
      <c r="C1571" s="212"/>
      <c r="D1571" s="270"/>
      <c r="E1571" s="208"/>
      <c r="F1571" s="208"/>
      <c r="G1571" s="208"/>
      <c r="H1571" s="209"/>
      <c r="I1571" s="210"/>
      <c r="J1571" s="210"/>
      <c r="K1571" s="260"/>
      <c r="L1571" s="260"/>
      <c r="M1571" s="260"/>
      <c r="N1571" s="260"/>
      <c r="O1571" s="260"/>
      <c r="P1571" s="211"/>
      <c r="Q1571" s="261"/>
      <c r="R1571" s="208" t="str">
        <f ca="1">IF(ISERROR($V1571),"",OFFSET('Smelter Look-up'!$C$4,$V1571-4,0)&amp;"")</f>
        <v/>
      </c>
      <c r="S1571" s="215" t="str">
        <f t="shared" ca="1" si="222"/>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si="223"/>
        <v>0</v>
      </c>
      <c r="Y1571" s="263"/>
      <c r="Z1571" s="263"/>
      <c r="AB1571" s="265" t="str">
        <f t="shared" si="224"/>
        <v/>
      </c>
    </row>
    <row r="1572" spans="1:28" s="264" customFormat="1" ht="20.399999999999999">
      <c r="A1572" s="207"/>
      <c r="B1572" s="208"/>
      <c r="C1572" s="212"/>
      <c r="D1572" s="270"/>
      <c r="E1572" s="208"/>
      <c r="F1572" s="208"/>
      <c r="G1572" s="208"/>
      <c r="H1572" s="209"/>
      <c r="I1572" s="210"/>
      <c r="J1572" s="210"/>
      <c r="K1572" s="260"/>
      <c r="L1572" s="260"/>
      <c r="M1572" s="260"/>
      <c r="N1572" s="260"/>
      <c r="O1572" s="260"/>
      <c r="P1572" s="211"/>
      <c r="Q1572" s="261"/>
      <c r="R1572" s="208" t="str">
        <f ca="1">IF(ISERROR($V1572),"",OFFSET('Smelter Look-up'!$C$4,$V1572-4,0)&amp;"")</f>
        <v/>
      </c>
      <c r="S1572" s="215" t="str">
        <f t="shared" ca="1" si="222"/>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si="223"/>
        <v>0</v>
      </c>
      <c r="Y1572" s="263"/>
      <c r="Z1572" s="263"/>
      <c r="AB1572" s="265" t="str">
        <f t="shared" si="224"/>
        <v/>
      </c>
    </row>
    <row r="1573" spans="1:28" s="264" customFormat="1" ht="20.399999999999999">
      <c r="A1573" s="207"/>
      <c r="B1573" s="208"/>
      <c r="C1573" s="212"/>
      <c r="D1573" s="270"/>
      <c r="E1573" s="208"/>
      <c r="F1573" s="208"/>
      <c r="G1573" s="208"/>
      <c r="H1573" s="209"/>
      <c r="I1573" s="210"/>
      <c r="J1573" s="210"/>
      <c r="K1573" s="260"/>
      <c r="L1573" s="260"/>
      <c r="M1573" s="260"/>
      <c r="N1573" s="260"/>
      <c r="O1573" s="260"/>
      <c r="P1573" s="211"/>
      <c r="Q1573" s="261"/>
      <c r="R1573" s="208" t="str">
        <f ca="1">IF(ISERROR($V1573),"",OFFSET('Smelter Look-up'!$C$4,$V1573-4,0)&amp;"")</f>
        <v/>
      </c>
      <c r="S1573" s="215" t="str">
        <f t="shared" ca="1" si="222"/>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si="223"/>
        <v>0</v>
      </c>
      <c r="Y1573" s="263"/>
      <c r="Z1573" s="263"/>
      <c r="AB1573" s="265" t="str">
        <f t="shared" si="224"/>
        <v/>
      </c>
    </row>
    <row r="1574" spans="1:28" s="264" customFormat="1" ht="20.399999999999999">
      <c r="A1574" s="207"/>
      <c r="B1574" s="208"/>
      <c r="C1574" s="212"/>
      <c r="D1574" s="270"/>
      <c r="E1574" s="208"/>
      <c r="F1574" s="208"/>
      <c r="G1574" s="208"/>
      <c r="H1574" s="209"/>
      <c r="I1574" s="210"/>
      <c r="J1574" s="210"/>
      <c r="K1574" s="260"/>
      <c r="L1574" s="260"/>
      <c r="M1574" s="260"/>
      <c r="N1574" s="260"/>
      <c r="O1574" s="260"/>
      <c r="P1574" s="211"/>
      <c r="Q1574" s="261"/>
      <c r="R1574" s="208" t="str">
        <f ca="1">IF(ISERROR($V1574),"",OFFSET('Smelter Look-up'!$C$4,$V1574-4,0)&amp;"")</f>
        <v/>
      </c>
      <c r="S1574" s="215" t="str">
        <f t="shared" ca="1" si="222"/>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si="223"/>
        <v>0</v>
      </c>
      <c r="Y1574" s="263"/>
      <c r="Z1574" s="263"/>
      <c r="AB1574" s="265" t="str">
        <f t="shared" si="224"/>
        <v/>
      </c>
    </row>
    <row r="1575" spans="1:28" s="264" customFormat="1" ht="20.399999999999999">
      <c r="A1575" s="207"/>
      <c r="B1575" s="208"/>
      <c r="C1575" s="212"/>
      <c r="D1575" s="270"/>
      <c r="E1575" s="208"/>
      <c r="F1575" s="208"/>
      <c r="G1575" s="208"/>
      <c r="H1575" s="209"/>
      <c r="I1575" s="210"/>
      <c r="J1575" s="210"/>
      <c r="K1575" s="260"/>
      <c r="L1575" s="260"/>
      <c r="M1575" s="260"/>
      <c r="N1575" s="260"/>
      <c r="O1575" s="260"/>
      <c r="P1575" s="211"/>
      <c r="Q1575" s="261"/>
      <c r="R1575" s="208" t="str">
        <f ca="1">IF(ISERROR($V1575),"",OFFSET('Smelter Look-up'!$C$4,$V1575-4,0)&amp;"")</f>
        <v/>
      </c>
      <c r="S1575" s="215" t="str">
        <f t="shared" ca="1" si="222"/>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si="223"/>
        <v>0</v>
      </c>
      <c r="Y1575" s="263"/>
      <c r="Z1575" s="263"/>
      <c r="AB1575" s="265" t="str">
        <f t="shared" si="224"/>
        <v/>
      </c>
    </row>
    <row r="1576" spans="1:28" s="264" customFormat="1" ht="20.399999999999999">
      <c r="A1576" s="207"/>
      <c r="B1576" s="208"/>
      <c r="C1576" s="212"/>
      <c r="D1576" s="270"/>
      <c r="E1576" s="208"/>
      <c r="F1576" s="208"/>
      <c r="G1576" s="208"/>
      <c r="H1576" s="209"/>
      <c r="I1576" s="210"/>
      <c r="J1576" s="210"/>
      <c r="K1576" s="260"/>
      <c r="L1576" s="260"/>
      <c r="M1576" s="260"/>
      <c r="N1576" s="260"/>
      <c r="O1576" s="260"/>
      <c r="P1576" s="211"/>
      <c r="Q1576" s="261"/>
      <c r="R1576" s="208" t="str">
        <f ca="1">IF(ISERROR($V1576),"",OFFSET('Smelter Look-up'!$C$4,$V1576-4,0)&amp;"")</f>
        <v/>
      </c>
      <c r="S1576" s="215" t="str">
        <f t="shared" ca="1" si="222"/>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si="223"/>
        <v>0</v>
      </c>
      <c r="Y1576" s="263"/>
      <c r="Z1576" s="263"/>
      <c r="AB1576" s="265" t="str">
        <f t="shared" si="224"/>
        <v/>
      </c>
    </row>
    <row r="1577" spans="1:28" s="264" customFormat="1" ht="20.399999999999999">
      <c r="A1577" s="207"/>
      <c r="B1577" s="208"/>
      <c r="C1577" s="212"/>
      <c r="D1577" s="270"/>
      <c r="E1577" s="208"/>
      <c r="F1577" s="208"/>
      <c r="G1577" s="208"/>
      <c r="H1577" s="209"/>
      <c r="I1577" s="210"/>
      <c r="J1577" s="210"/>
      <c r="K1577" s="260"/>
      <c r="L1577" s="260"/>
      <c r="M1577" s="260"/>
      <c r="N1577" s="260"/>
      <c r="O1577" s="260"/>
      <c r="P1577" s="211"/>
      <c r="Q1577" s="261"/>
      <c r="R1577" s="208" t="str">
        <f ca="1">IF(ISERROR($V1577),"",OFFSET('Smelter Look-up'!$C$4,$V1577-4,0)&amp;"")</f>
        <v/>
      </c>
      <c r="S1577" s="215" t="str">
        <f t="shared" ca="1" si="222"/>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si="223"/>
        <v>0</v>
      </c>
      <c r="Y1577" s="263"/>
      <c r="Z1577" s="263"/>
      <c r="AB1577" s="265" t="str">
        <f t="shared" si="224"/>
        <v/>
      </c>
    </row>
    <row r="1578" spans="1:28" s="264" customFormat="1" ht="20.399999999999999">
      <c r="A1578" s="207"/>
      <c r="B1578" s="208"/>
      <c r="C1578" s="212"/>
      <c r="D1578" s="270"/>
      <c r="E1578" s="208"/>
      <c r="F1578" s="208"/>
      <c r="G1578" s="208"/>
      <c r="H1578" s="209"/>
      <c r="I1578" s="210"/>
      <c r="J1578" s="210"/>
      <c r="K1578" s="260"/>
      <c r="L1578" s="260"/>
      <c r="M1578" s="260"/>
      <c r="N1578" s="260"/>
      <c r="O1578" s="260"/>
      <c r="P1578" s="211"/>
      <c r="Q1578" s="261"/>
      <c r="R1578" s="208" t="str">
        <f ca="1">IF(ISERROR($V1578),"",OFFSET('Smelter Look-up'!$C$4,$V1578-4,0)&amp;"")</f>
        <v/>
      </c>
      <c r="S1578" s="215" t="str">
        <f t="shared" ca="1" si="222"/>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si="223"/>
        <v>0</v>
      </c>
      <c r="Y1578" s="263"/>
      <c r="Z1578" s="263"/>
      <c r="AB1578" s="265" t="str">
        <f t="shared" si="224"/>
        <v/>
      </c>
    </row>
    <row r="1579" spans="1:28" s="264" customFormat="1" ht="20.399999999999999">
      <c r="A1579" s="207"/>
      <c r="B1579" s="208"/>
      <c r="C1579" s="212"/>
      <c r="D1579" s="270"/>
      <c r="E1579" s="208"/>
      <c r="F1579" s="208"/>
      <c r="G1579" s="208"/>
      <c r="H1579" s="209"/>
      <c r="I1579" s="210"/>
      <c r="J1579" s="210"/>
      <c r="K1579" s="260"/>
      <c r="L1579" s="260"/>
      <c r="M1579" s="260"/>
      <c r="N1579" s="260"/>
      <c r="O1579" s="260"/>
      <c r="P1579" s="211"/>
      <c r="Q1579" s="261"/>
      <c r="R1579" s="208" t="str">
        <f ca="1">IF(ISERROR($V1579),"",OFFSET('Smelter Look-up'!$C$4,$V1579-4,0)&amp;"")</f>
        <v/>
      </c>
      <c r="S1579" s="215" t="str">
        <f t="shared" ca="1" si="222"/>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si="223"/>
        <v>0</v>
      </c>
      <c r="Y1579" s="263"/>
      <c r="Z1579" s="263"/>
      <c r="AB1579" s="265" t="str">
        <f t="shared" si="224"/>
        <v/>
      </c>
    </row>
    <row r="1580" spans="1:28" s="264" customFormat="1" ht="20.399999999999999">
      <c r="A1580" s="207"/>
      <c r="B1580" s="208"/>
      <c r="C1580" s="212"/>
      <c r="D1580" s="270"/>
      <c r="E1580" s="208"/>
      <c r="F1580" s="208"/>
      <c r="G1580" s="208"/>
      <c r="H1580" s="209"/>
      <c r="I1580" s="210"/>
      <c r="J1580" s="210"/>
      <c r="K1580" s="260"/>
      <c r="L1580" s="260"/>
      <c r="M1580" s="260"/>
      <c r="N1580" s="260"/>
      <c r="O1580" s="260"/>
      <c r="P1580" s="211"/>
      <c r="Q1580" s="261"/>
      <c r="R1580" s="208" t="str">
        <f ca="1">IF(ISERROR($V1580),"",OFFSET('Smelter Look-up'!$C$4,$V1580-4,0)&amp;"")</f>
        <v/>
      </c>
      <c r="S1580" s="215" t="str">
        <f t="shared" ca="1" si="222"/>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si="223"/>
        <v>0</v>
      </c>
      <c r="Y1580" s="263"/>
      <c r="Z1580" s="263"/>
      <c r="AB1580" s="265" t="str">
        <f t="shared" si="224"/>
        <v/>
      </c>
    </row>
    <row r="1581" spans="1:28" s="264" customFormat="1" ht="20.399999999999999">
      <c r="A1581" s="207"/>
      <c r="B1581" s="208"/>
      <c r="C1581" s="212"/>
      <c r="D1581" s="270"/>
      <c r="E1581" s="208"/>
      <c r="F1581" s="208"/>
      <c r="G1581" s="208"/>
      <c r="H1581" s="209"/>
      <c r="I1581" s="210"/>
      <c r="J1581" s="210"/>
      <c r="K1581" s="260"/>
      <c r="L1581" s="260"/>
      <c r="M1581" s="260"/>
      <c r="N1581" s="260"/>
      <c r="O1581" s="260"/>
      <c r="P1581" s="211"/>
      <c r="Q1581" s="261"/>
      <c r="R1581" s="208" t="str">
        <f ca="1">IF(ISERROR($V1581),"",OFFSET('Smelter Look-up'!$C$4,$V1581-4,0)&amp;"")</f>
        <v/>
      </c>
      <c r="S1581" s="215" t="str">
        <f t="shared" ca="1" si="222"/>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si="223"/>
        <v>0</v>
      </c>
      <c r="Y1581" s="263"/>
      <c r="Z1581" s="263"/>
      <c r="AB1581" s="265" t="str">
        <f t="shared" si="224"/>
        <v/>
      </c>
    </row>
    <row r="1582" spans="1:28" s="264" customFormat="1" ht="20.399999999999999">
      <c r="A1582" s="207"/>
      <c r="B1582" s="208"/>
      <c r="C1582" s="212"/>
      <c r="D1582" s="270"/>
      <c r="E1582" s="208"/>
      <c r="F1582" s="208"/>
      <c r="G1582" s="208"/>
      <c r="H1582" s="209"/>
      <c r="I1582" s="210"/>
      <c r="J1582" s="210"/>
      <c r="K1582" s="260"/>
      <c r="L1582" s="260"/>
      <c r="M1582" s="260"/>
      <c r="N1582" s="260"/>
      <c r="O1582" s="260"/>
      <c r="P1582" s="211"/>
      <c r="Q1582" s="261"/>
      <c r="R1582" s="208" t="str">
        <f ca="1">IF(ISERROR($V1582),"",OFFSET('Smelter Look-up'!$C$4,$V1582-4,0)&amp;"")</f>
        <v/>
      </c>
      <c r="S1582" s="215" t="str">
        <f t="shared" ca="1" si="222"/>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si="223"/>
        <v>0</v>
      </c>
      <c r="Y1582" s="263"/>
      <c r="Z1582" s="263"/>
      <c r="AB1582" s="265" t="str">
        <f t="shared" si="224"/>
        <v/>
      </c>
    </row>
    <row r="1583" spans="1:28" s="264" customFormat="1" ht="20.399999999999999">
      <c r="A1583" s="207"/>
      <c r="B1583" s="208"/>
      <c r="C1583" s="212"/>
      <c r="D1583" s="270"/>
      <c r="E1583" s="208"/>
      <c r="F1583" s="208"/>
      <c r="G1583" s="208"/>
      <c r="H1583" s="209"/>
      <c r="I1583" s="210"/>
      <c r="J1583" s="210"/>
      <c r="K1583" s="260"/>
      <c r="L1583" s="260"/>
      <c r="M1583" s="260"/>
      <c r="N1583" s="260"/>
      <c r="O1583" s="260"/>
      <c r="P1583" s="211"/>
      <c r="Q1583" s="261"/>
      <c r="R1583" s="208" t="str">
        <f ca="1">IF(ISERROR($V1583),"",OFFSET('Smelter Look-up'!$C$4,$V1583-4,0)&amp;"")</f>
        <v/>
      </c>
      <c r="S1583" s="215" t="str">
        <f t="shared" ca="1" si="222"/>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si="223"/>
        <v>0</v>
      </c>
      <c r="Y1583" s="263"/>
      <c r="Z1583" s="263"/>
      <c r="AB1583" s="265" t="str">
        <f t="shared" si="224"/>
        <v/>
      </c>
    </row>
    <row r="1584" spans="1:28" s="264" customFormat="1" ht="20.399999999999999">
      <c r="A1584" s="207"/>
      <c r="B1584" s="208"/>
      <c r="C1584" s="212"/>
      <c r="D1584" s="270"/>
      <c r="E1584" s="208"/>
      <c r="F1584" s="208"/>
      <c r="G1584" s="208"/>
      <c r="H1584" s="209"/>
      <c r="I1584" s="210"/>
      <c r="J1584" s="210"/>
      <c r="K1584" s="260"/>
      <c r="L1584" s="260"/>
      <c r="M1584" s="260"/>
      <c r="N1584" s="260"/>
      <c r="O1584" s="260"/>
      <c r="P1584" s="211"/>
      <c r="Q1584" s="261"/>
      <c r="R1584" s="208" t="str">
        <f ca="1">IF(ISERROR($V1584),"",OFFSET('Smelter Look-up'!$C$4,$V1584-4,0)&amp;"")</f>
        <v/>
      </c>
      <c r="S1584" s="215" t="str">
        <f t="shared" ca="1" si="222"/>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si="223"/>
        <v>0</v>
      </c>
      <c r="Y1584" s="263"/>
      <c r="Z1584" s="263"/>
      <c r="AB1584" s="265" t="str">
        <f t="shared" si="224"/>
        <v/>
      </c>
    </row>
    <row r="1585" spans="1:28" s="264" customFormat="1" ht="20.399999999999999">
      <c r="A1585" s="207"/>
      <c r="B1585" s="208"/>
      <c r="C1585" s="212"/>
      <c r="D1585" s="270"/>
      <c r="E1585" s="208"/>
      <c r="F1585" s="208"/>
      <c r="G1585" s="208"/>
      <c r="H1585" s="209"/>
      <c r="I1585" s="210"/>
      <c r="J1585" s="210"/>
      <c r="K1585" s="260"/>
      <c r="L1585" s="260"/>
      <c r="M1585" s="260"/>
      <c r="N1585" s="260"/>
      <c r="O1585" s="260"/>
      <c r="P1585" s="211"/>
      <c r="Q1585" s="261"/>
      <c r="R1585" s="208" t="str">
        <f ca="1">IF(ISERROR($V1585),"",OFFSET('Smelter Look-up'!$C$4,$V1585-4,0)&amp;"")</f>
        <v/>
      </c>
      <c r="S1585" s="215" t="str">
        <f t="shared" ca="1" si="222"/>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si="223"/>
        <v>0</v>
      </c>
      <c r="Y1585" s="263"/>
      <c r="Z1585" s="263"/>
      <c r="AB1585" s="265" t="str">
        <f t="shared" si="224"/>
        <v/>
      </c>
    </row>
    <row r="1586" spans="1:28" s="264" customFormat="1" ht="20.399999999999999">
      <c r="A1586" s="207"/>
      <c r="B1586" s="208"/>
      <c r="C1586" s="212"/>
      <c r="D1586" s="270"/>
      <c r="E1586" s="208"/>
      <c r="F1586" s="208"/>
      <c r="G1586" s="208"/>
      <c r="H1586" s="209"/>
      <c r="I1586" s="210"/>
      <c r="J1586" s="210"/>
      <c r="K1586" s="260"/>
      <c r="L1586" s="260"/>
      <c r="M1586" s="260"/>
      <c r="N1586" s="260"/>
      <c r="O1586" s="260"/>
      <c r="P1586" s="211"/>
      <c r="Q1586" s="261"/>
      <c r="R1586" s="208" t="str">
        <f ca="1">IF(ISERROR($V1586),"",OFFSET('Smelter Look-up'!$C$4,$V1586-4,0)&amp;"")</f>
        <v/>
      </c>
      <c r="S1586" s="215" t="str">
        <f t="shared" ca="1" si="222"/>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si="223"/>
        <v>0</v>
      </c>
      <c r="Y1586" s="263"/>
      <c r="Z1586" s="263"/>
      <c r="AB1586" s="265" t="str">
        <f t="shared" si="224"/>
        <v/>
      </c>
    </row>
    <row r="1587" spans="1:28" s="264" customFormat="1" ht="20.399999999999999">
      <c r="A1587" s="207"/>
      <c r="B1587" s="208"/>
      <c r="C1587" s="212"/>
      <c r="D1587" s="270"/>
      <c r="E1587" s="208"/>
      <c r="F1587" s="208"/>
      <c r="G1587" s="208"/>
      <c r="H1587" s="209"/>
      <c r="I1587" s="210"/>
      <c r="J1587" s="210"/>
      <c r="K1587" s="260"/>
      <c r="L1587" s="260"/>
      <c r="M1587" s="260"/>
      <c r="N1587" s="260"/>
      <c r="O1587" s="260"/>
      <c r="P1587" s="211"/>
      <c r="Q1587" s="261"/>
      <c r="R1587" s="208" t="str">
        <f ca="1">IF(ISERROR($V1587),"",OFFSET('Smelter Look-up'!$C$4,$V1587-4,0)&amp;"")</f>
        <v/>
      </c>
      <c r="S1587" s="215" t="str">
        <f t="shared" ca="1" si="222"/>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si="223"/>
        <v>0</v>
      </c>
      <c r="Y1587" s="263"/>
      <c r="Z1587" s="263"/>
      <c r="AB1587" s="265" t="str">
        <f t="shared" si="224"/>
        <v/>
      </c>
    </row>
    <row r="1588" spans="1:28" s="264" customFormat="1" ht="20.399999999999999">
      <c r="A1588" s="207"/>
      <c r="B1588" s="208"/>
      <c r="C1588" s="212"/>
      <c r="D1588" s="270"/>
      <c r="E1588" s="208"/>
      <c r="F1588" s="208"/>
      <c r="G1588" s="208"/>
      <c r="H1588" s="209"/>
      <c r="I1588" s="210"/>
      <c r="J1588" s="210"/>
      <c r="K1588" s="260"/>
      <c r="L1588" s="260"/>
      <c r="M1588" s="260"/>
      <c r="N1588" s="260"/>
      <c r="O1588" s="260"/>
      <c r="P1588" s="211"/>
      <c r="Q1588" s="261"/>
      <c r="R1588" s="208" t="str">
        <f ca="1">IF(ISERROR($V1588),"",OFFSET('Smelter Look-up'!$C$4,$V1588-4,0)&amp;"")</f>
        <v/>
      </c>
      <c r="S1588" s="215" t="str">
        <f t="shared" ca="1" si="222"/>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si="223"/>
        <v>0</v>
      </c>
      <c r="Y1588" s="263"/>
      <c r="Z1588" s="263"/>
      <c r="AB1588" s="265" t="str">
        <f t="shared" si="224"/>
        <v/>
      </c>
    </row>
    <row r="1589" spans="1:28" s="264" customFormat="1" ht="20.399999999999999">
      <c r="A1589" s="207"/>
      <c r="B1589" s="208"/>
      <c r="C1589" s="212"/>
      <c r="D1589" s="270"/>
      <c r="E1589" s="208"/>
      <c r="F1589" s="208"/>
      <c r="G1589" s="208"/>
      <c r="H1589" s="209"/>
      <c r="I1589" s="210"/>
      <c r="J1589" s="210"/>
      <c r="K1589" s="260"/>
      <c r="L1589" s="260"/>
      <c r="M1589" s="260"/>
      <c r="N1589" s="260"/>
      <c r="O1589" s="260"/>
      <c r="P1589" s="211"/>
      <c r="Q1589" s="261"/>
      <c r="R1589" s="208" t="str">
        <f ca="1">IF(ISERROR($V1589),"",OFFSET('Smelter Look-up'!$C$4,$V1589-4,0)&amp;"")</f>
        <v/>
      </c>
      <c r="S1589" s="215" t="str">
        <f t="shared" ca="1" si="222"/>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si="223"/>
        <v>0</v>
      </c>
      <c r="Y1589" s="263"/>
      <c r="Z1589" s="263"/>
      <c r="AB1589" s="265" t="str">
        <f t="shared" si="224"/>
        <v/>
      </c>
    </row>
    <row r="1590" spans="1:28" s="264" customFormat="1" ht="20.399999999999999">
      <c r="A1590" s="207"/>
      <c r="B1590" s="208"/>
      <c r="C1590" s="212"/>
      <c r="D1590" s="270"/>
      <c r="E1590" s="208"/>
      <c r="F1590" s="208"/>
      <c r="G1590" s="208"/>
      <c r="H1590" s="209"/>
      <c r="I1590" s="210"/>
      <c r="J1590" s="210"/>
      <c r="K1590" s="260"/>
      <c r="L1590" s="260"/>
      <c r="M1590" s="260"/>
      <c r="N1590" s="260"/>
      <c r="O1590" s="260"/>
      <c r="P1590" s="211"/>
      <c r="Q1590" s="261"/>
      <c r="R1590" s="208" t="str">
        <f ca="1">IF(ISERROR($V1590),"",OFFSET('Smelter Look-up'!$C$4,$V1590-4,0)&amp;"")</f>
        <v/>
      </c>
      <c r="S1590" s="215" t="str">
        <f t="shared" ca="1" si="222"/>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si="223"/>
        <v>0</v>
      </c>
      <c r="Y1590" s="263"/>
      <c r="Z1590" s="263"/>
      <c r="AB1590" s="265" t="str">
        <f t="shared" si="224"/>
        <v/>
      </c>
    </row>
    <row r="1591" spans="1:28" s="264" customFormat="1" ht="20.399999999999999">
      <c r="A1591" s="207"/>
      <c r="B1591" s="208"/>
      <c r="C1591" s="212"/>
      <c r="D1591" s="270"/>
      <c r="E1591" s="208"/>
      <c r="F1591" s="208"/>
      <c r="G1591" s="208"/>
      <c r="H1591" s="209"/>
      <c r="I1591" s="210"/>
      <c r="J1591" s="210"/>
      <c r="K1591" s="260"/>
      <c r="L1591" s="260"/>
      <c r="M1591" s="260"/>
      <c r="N1591" s="260"/>
      <c r="O1591" s="260"/>
      <c r="P1591" s="211"/>
      <c r="Q1591" s="261"/>
      <c r="R1591" s="208" t="str">
        <f ca="1">IF(ISERROR($V1591),"",OFFSET('Smelter Look-up'!$C$4,$V1591-4,0)&amp;"")</f>
        <v/>
      </c>
      <c r="S1591" s="215" t="str">
        <f t="shared" ca="1" si="222"/>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si="223"/>
        <v>0</v>
      </c>
      <c r="Y1591" s="263"/>
      <c r="Z1591" s="263"/>
      <c r="AB1591" s="265" t="str">
        <f t="shared" si="224"/>
        <v/>
      </c>
    </row>
    <row r="1592" spans="1:28" s="264" customFormat="1" ht="20.399999999999999">
      <c r="A1592" s="207"/>
      <c r="B1592" s="208"/>
      <c r="C1592" s="212"/>
      <c r="D1592" s="270"/>
      <c r="E1592" s="208"/>
      <c r="F1592" s="208"/>
      <c r="G1592" s="208"/>
      <c r="H1592" s="209"/>
      <c r="I1592" s="210"/>
      <c r="J1592" s="210"/>
      <c r="K1592" s="260"/>
      <c r="L1592" s="260"/>
      <c r="M1592" s="260"/>
      <c r="N1592" s="260"/>
      <c r="O1592" s="260"/>
      <c r="P1592" s="211"/>
      <c r="Q1592" s="261"/>
      <c r="R1592" s="208" t="str">
        <f ca="1">IF(ISERROR($V1592),"",OFFSET('Smelter Look-up'!$C$4,$V1592-4,0)&amp;"")</f>
        <v/>
      </c>
      <c r="S1592" s="215" t="str">
        <f t="shared" ca="1" si="222"/>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si="223"/>
        <v>0</v>
      </c>
      <c r="Y1592" s="263"/>
      <c r="Z1592" s="263"/>
      <c r="AB1592" s="265" t="str">
        <f t="shared" si="224"/>
        <v/>
      </c>
    </row>
    <row r="1593" spans="1:28" s="264" customFormat="1" ht="20.399999999999999">
      <c r="A1593" s="207"/>
      <c r="B1593" s="208"/>
      <c r="C1593" s="212"/>
      <c r="D1593" s="270"/>
      <c r="E1593" s="208"/>
      <c r="F1593" s="208"/>
      <c r="G1593" s="208"/>
      <c r="H1593" s="209"/>
      <c r="I1593" s="210"/>
      <c r="J1593" s="210"/>
      <c r="K1593" s="260"/>
      <c r="L1593" s="260"/>
      <c r="M1593" s="260"/>
      <c r="N1593" s="260"/>
      <c r="O1593" s="260"/>
      <c r="P1593" s="211"/>
      <c r="Q1593" s="261"/>
      <c r="R1593" s="208" t="str">
        <f ca="1">IF(ISERROR($V1593),"",OFFSET('Smelter Look-up'!$C$4,$V1593-4,0)&amp;"")</f>
        <v/>
      </c>
      <c r="S1593" s="215" t="str">
        <f t="shared" ca="1" si="222"/>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si="223"/>
        <v>0</v>
      </c>
      <c r="Y1593" s="263"/>
      <c r="Z1593" s="263"/>
      <c r="AB1593" s="265" t="str">
        <f t="shared" si="224"/>
        <v/>
      </c>
    </row>
    <row r="1594" spans="1:28" s="264" customFormat="1" ht="20.399999999999999">
      <c r="A1594" s="207"/>
      <c r="B1594" s="208"/>
      <c r="C1594" s="212"/>
      <c r="D1594" s="270"/>
      <c r="E1594" s="208"/>
      <c r="F1594" s="208"/>
      <c r="G1594" s="208"/>
      <c r="H1594" s="209"/>
      <c r="I1594" s="210"/>
      <c r="J1594" s="210"/>
      <c r="K1594" s="260"/>
      <c r="L1594" s="260"/>
      <c r="M1594" s="260"/>
      <c r="N1594" s="260"/>
      <c r="O1594" s="260"/>
      <c r="P1594" s="211"/>
      <c r="Q1594" s="261"/>
      <c r="R1594" s="208" t="str">
        <f ca="1">IF(ISERROR($V1594),"",OFFSET('Smelter Look-up'!$C$4,$V1594-4,0)&amp;"")</f>
        <v/>
      </c>
      <c r="S1594" s="215" t="str">
        <f t="shared" ca="1" si="222"/>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si="223"/>
        <v>0</v>
      </c>
      <c r="Y1594" s="263"/>
      <c r="Z1594" s="263"/>
      <c r="AB1594" s="265" t="str">
        <f t="shared" si="224"/>
        <v/>
      </c>
    </row>
    <row r="1595" spans="1:28" s="264" customFormat="1" ht="20.399999999999999">
      <c r="A1595" s="207"/>
      <c r="B1595" s="208"/>
      <c r="C1595" s="212"/>
      <c r="D1595" s="270"/>
      <c r="E1595" s="208"/>
      <c r="F1595" s="208"/>
      <c r="G1595" s="208"/>
      <c r="H1595" s="209"/>
      <c r="I1595" s="210"/>
      <c r="J1595" s="210"/>
      <c r="K1595" s="260"/>
      <c r="L1595" s="260"/>
      <c r="M1595" s="260"/>
      <c r="N1595" s="260"/>
      <c r="O1595" s="260"/>
      <c r="P1595" s="211"/>
      <c r="Q1595" s="261"/>
      <c r="R1595" s="208" t="str">
        <f ca="1">IF(ISERROR($V1595),"",OFFSET('Smelter Look-up'!$C$4,$V1595-4,0)&amp;"")</f>
        <v/>
      </c>
      <c r="S1595" s="215" t="str">
        <f t="shared" ref="S1595" ca="1" si="225">IF(B1595="","",IF(ISERROR(MATCH($E1595,CL,0)),"Unknown",INDIRECT("'C'!$A$"&amp;MATCH($E1595,CL,0)+1)))</f>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ref="X1595" si="226">IF(AND(C1595="Smelter not listed",OR(LEN(D1595)=0,LEN(E1595)=0)),1,0)</f>
        <v>0</v>
      </c>
      <c r="Y1595" s="263"/>
      <c r="Z1595" s="263"/>
      <c r="AB1595" s="265" t="str">
        <f t="shared" ref="AB1595" si="227">B1595&amp;C1595</f>
        <v/>
      </c>
    </row>
    <row r="1596" spans="1:28" s="264" customFormat="1" ht="20.399999999999999">
      <c r="A1596" s="207"/>
      <c r="B1596" s="208"/>
      <c r="C1596" s="212"/>
      <c r="D1596" s="270"/>
      <c r="E1596" s="208"/>
      <c r="F1596" s="208"/>
      <c r="G1596" s="208"/>
      <c r="H1596" s="209"/>
      <c r="I1596" s="210"/>
      <c r="J1596" s="210"/>
      <c r="K1596" s="260"/>
      <c r="L1596" s="260"/>
      <c r="M1596" s="260"/>
      <c r="N1596" s="260"/>
      <c r="O1596" s="260"/>
      <c r="P1596" s="211"/>
      <c r="Q1596" s="261"/>
      <c r="R1596" s="208" t="str">
        <f ca="1">IF(ISERROR($V1596),"",OFFSET('Smelter Look-up'!$C$4,$V1596-4,0)&amp;"")</f>
        <v/>
      </c>
      <c r="S1596" s="215" t="str">
        <f t="shared" ref="S1596:S1627" ca="1" si="228">IF(B1596="","",IF(ISERROR(MATCH($E1596,CL,0)),"Unknown",INDIRECT("'C'!$A$"&amp;MATCH($E1596,CL,0)+1)))</f>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ref="X1596:X1627" si="229">IF(AND(C1596="Smelter not listed",OR(LEN(D1596)=0,LEN(E1596)=0)),1,0)</f>
        <v>0</v>
      </c>
      <c r="Y1596" s="263"/>
      <c r="Z1596" s="263"/>
      <c r="AB1596" s="265" t="str">
        <f t="shared" ref="AB1596:AB1627" si="230">B1596&amp;C1596</f>
        <v/>
      </c>
    </row>
    <row r="1597" spans="1:28" s="264" customFormat="1" ht="20.399999999999999">
      <c r="A1597" s="207"/>
      <c r="B1597" s="208"/>
      <c r="C1597" s="212"/>
      <c r="D1597" s="270"/>
      <c r="E1597" s="208"/>
      <c r="F1597" s="208"/>
      <c r="G1597" s="208"/>
      <c r="H1597" s="209"/>
      <c r="I1597" s="210"/>
      <c r="J1597" s="210"/>
      <c r="K1597" s="260"/>
      <c r="L1597" s="260"/>
      <c r="M1597" s="260"/>
      <c r="N1597" s="260"/>
      <c r="O1597" s="260"/>
      <c r="P1597" s="211"/>
      <c r="Q1597" s="261"/>
      <c r="R1597" s="208" t="str">
        <f ca="1">IF(ISERROR($V1597),"",OFFSET('Smelter Look-up'!$C$4,$V1597-4,0)&amp;"")</f>
        <v/>
      </c>
      <c r="S1597" s="215" t="str">
        <f t="shared" ca="1" si="228"/>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si="229"/>
        <v>0</v>
      </c>
      <c r="Y1597" s="263"/>
      <c r="Z1597" s="263"/>
      <c r="AB1597" s="265" t="str">
        <f t="shared" si="230"/>
        <v/>
      </c>
    </row>
    <row r="1598" spans="1:28" s="264" customFormat="1" ht="20.399999999999999">
      <c r="A1598" s="207"/>
      <c r="B1598" s="208"/>
      <c r="C1598" s="212"/>
      <c r="D1598" s="270"/>
      <c r="E1598" s="208"/>
      <c r="F1598" s="208"/>
      <c r="G1598" s="208"/>
      <c r="H1598" s="209"/>
      <c r="I1598" s="210"/>
      <c r="J1598" s="210"/>
      <c r="K1598" s="260"/>
      <c r="L1598" s="260"/>
      <c r="M1598" s="260"/>
      <c r="N1598" s="260"/>
      <c r="O1598" s="260"/>
      <c r="P1598" s="211"/>
      <c r="Q1598" s="261"/>
      <c r="R1598" s="208" t="str">
        <f ca="1">IF(ISERROR($V1598),"",OFFSET('Smelter Look-up'!$C$4,$V1598-4,0)&amp;"")</f>
        <v/>
      </c>
      <c r="S1598" s="215" t="str">
        <f t="shared" ca="1" si="228"/>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si="229"/>
        <v>0</v>
      </c>
      <c r="Y1598" s="263"/>
      <c r="Z1598" s="263"/>
      <c r="AB1598" s="265" t="str">
        <f t="shared" si="230"/>
        <v/>
      </c>
    </row>
    <row r="1599" spans="1:28" s="264" customFormat="1" ht="20.399999999999999">
      <c r="A1599" s="207"/>
      <c r="B1599" s="208"/>
      <c r="C1599" s="212"/>
      <c r="D1599" s="270"/>
      <c r="E1599" s="208"/>
      <c r="F1599" s="208"/>
      <c r="G1599" s="208"/>
      <c r="H1599" s="209"/>
      <c r="I1599" s="210"/>
      <c r="J1599" s="210"/>
      <c r="K1599" s="260"/>
      <c r="L1599" s="260"/>
      <c r="M1599" s="260"/>
      <c r="N1599" s="260"/>
      <c r="O1599" s="260"/>
      <c r="P1599" s="211"/>
      <c r="Q1599" s="261"/>
      <c r="R1599" s="208" t="str">
        <f ca="1">IF(ISERROR($V1599),"",OFFSET('Smelter Look-up'!$C$4,$V1599-4,0)&amp;"")</f>
        <v/>
      </c>
      <c r="S1599" s="215" t="str">
        <f t="shared" ca="1" si="228"/>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si="229"/>
        <v>0</v>
      </c>
      <c r="Y1599" s="263"/>
      <c r="Z1599" s="263"/>
      <c r="AB1599" s="265" t="str">
        <f t="shared" si="230"/>
        <v/>
      </c>
    </row>
    <row r="1600" spans="1:28" s="264" customFormat="1" ht="20.399999999999999">
      <c r="A1600" s="207"/>
      <c r="B1600" s="208"/>
      <c r="C1600" s="212"/>
      <c r="D1600" s="270"/>
      <c r="E1600" s="208"/>
      <c r="F1600" s="208"/>
      <c r="G1600" s="208"/>
      <c r="H1600" s="209"/>
      <c r="I1600" s="210"/>
      <c r="J1600" s="210"/>
      <c r="K1600" s="260"/>
      <c r="L1600" s="260"/>
      <c r="M1600" s="260"/>
      <c r="N1600" s="260"/>
      <c r="O1600" s="260"/>
      <c r="P1600" s="211"/>
      <c r="Q1600" s="261"/>
      <c r="R1600" s="208" t="str">
        <f ca="1">IF(ISERROR($V1600),"",OFFSET('Smelter Look-up'!$C$4,$V1600-4,0)&amp;"")</f>
        <v/>
      </c>
      <c r="S1600" s="215" t="str">
        <f t="shared" ca="1" si="228"/>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si="229"/>
        <v>0</v>
      </c>
      <c r="Y1600" s="263"/>
      <c r="Z1600" s="263"/>
      <c r="AB1600" s="265" t="str">
        <f t="shared" si="230"/>
        <v/>
      </c>
    </row>
    <row r="1601" spans="1:28" s="264" customFormat="1" ht="20.399999999999999">
      <c r="A1601" s="207"/>
      <c r="B1601" s="208"/>
      <c r="C1601" s="212"/>
      <c r="D1601" s="270"/>
      <c r="E1601" s="208"/>
      <c r="F1601" s="208"/>
      <c r="G1601" s="208"/>
      <c r="H1601" s="209"/>
      <c r="I1601" s="210"/>
      <c r="J1601" s="210"/>
      <c r="K1601" s="260"/>
      <c r="L1601" s="260"/>
      <c r="M1601" s="260"/>
      <c r="N1601" s="260"/>
      <c r="O1601" s="260"/>
      <c r="P1601" s="211"/>
      <c r="Q1601" s="261"/>
      <c r="R1601" s="208" t="str">
        <f ca="1">IF(ISERROR($V1601),"",OFFSET('Smelter Look-up'!$C$4,$V1601-4,0)&amp;"")</f>
        <v/>
      </c>
      <c r="S1601" s="215" t="str">
        <f t="shared" ca="1" si="228"/>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si="229"/>
        <v>0</v>
      </c>
      <c r="Y1601" s="263"/>
      <c r="Z1601" s="263"/>
      <c r="AB1601" s="265" t="str">
        <f t="shared" si="230"/>
        <v/>
      </c>
    </row>
    <row r="1602" spans="1:28" s="264" customFormat="1" ht="20.399999999999999">
      <c r="A1602" s="207"/>
      <c r="B1602" s="208"/>
      <c r="C1602" s="212"/>
      <c r="D1602" s="270"/>
      <c r="E1602" s="208"/>
      <c r="F1602" s="208"/>
      <c r="G1602" s="208"/>
      <c r="H1602" s="209"/>
      <c r="I1602" s="210"/>
      <c r="J1602" s="210"/>
      <c r="K1602" s="260"/>
      <c r="L1602" s="260"/>
      <c r="M1602" s="260"/>
      <c r="N1602" s="260"/>
      <c r="O1602" s="260"/>
      <c r="P1602" s="211"/>
      <c r="Q1602" s="261"/>
      <c r="R1602" s="208" t="str">
        <f ca="1">IF(ISERROR($V1602),"",OFFSET('Smelter Look-up'!$C$4,$V1602-4,0)&amp;"")</f>
        <v/>
      </c>
      <c r="S1602" s="215" t="str">
        <f t="shared" ca="1" si="228"/>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si="229"/>
        <v>0</v>
      </c>
      <c r="Y1602" s="263"/>
      <c r="Z1602" s="263"/>
      <c r="AB1602" s="265" t="str">
        <f t="shared" si="230"/>
        <v/>
      </c>
    </row>
    <row r="1603" spans="1:28" s="264" customFormat="1" ht="20.399999999999999">
      <c r="A1603" s="207"/>
      <c r="B1603" s="208"/>
      <c r="C1603" s="212"/>
      <c r="D1603" s="270"/>
      <c r="E1603" s="208"/>
      <c r="F1603" s="208"/>
      <c r="G1603" s="208"/>
      <c r="H1603" s="209"/>
      <c r="I1603" s="210"/>
      <c r="J1603" s="210"/>
      <c r="K1603" s="260"/>
      <c r="L1603" s="260"/>
      <c r="M1603" s="260"/>
      <c r="N1603" s="260"/>
      <c r="O1603" s="260"/>
      <c r="P1603" s="211"/>
      <c r="Q1603" s="261"/>
      <c r="R1603" s="208" t="str">
        <f ca="1">IF(ISERROR($V1603),"",OFFSET('Smelter Look-up'!$C$4,$V1603-4,0)&amp;"")</f>
        <v/>
      </c>
      <c r="S1603" s="215" t="str">
        <f t="shared" ca="1" si="228"/>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si="229"/>
        <v>0</v>
      </c>
      <c r="Y1603" s="263"/>
      <c r="Z1603" s="263"/>
      <c r="AB1603" s="265" t="str">
        <f t="shared" si="230"/>
        <v/>
      </c>
    </row>
    <row r="1604" spans="1:28" s="264" customFormat="1" ht="20.399999999999999">
      <c r="A1604" s="207"/>
      <c r="B1604" s="208"/>
      <c r="C1604" s="212"/>
      <c r="D1604" s="270"/>
      <c r="E1604" s="208"/>
      <c r="F1604" s="208"/>
      <c r="G1604" s="208"/>
      <c r="H1604" s="209"/>
      <c r="I1604" s="210"/>
      <c r="J1604" s="210"/>
      <c r="K1604" s="260"/>
      <c r="L1604" s="260"/>
      <c r="M1604" s="260"/>
      <c r="N1604" s="260"/>
      <c r="O1604" s="260"/>
      <c r="P1604" s="211"/>
      <c r="Q1604" s="261"/>
      <c r="R1604" s="208" t="str">
        <f ca="1">IF(ISERROR($V1604),"",OFFSET('Smelter Look-up'!$C$4,$V1604-4,0)&amp;"")</f>
        <v/>
      </c>
      <c r="S1604" s="215" t="str">
        <f t="shared" ca="1" si="228"/>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si="229"/>
        <v>0</v>
      </c>
      <c r="Y1604" s="263"/>
      <c r="Z1604" s="263"/>
      <c r="AB1604" s="265" t="str">
        <f t="shared" si="230"/>
        <v/>
      </c>
    </row>
    <row r="1605" spans="1:28" s="264" customFormat="1" ht="20.399999999999999">
      <c r="A1605" s="207"/>
      <c r="B1605" s="208"/>
      <c r="C1605" s="212"/>
      <c r="D1605" s="270"/>
      <c r="E1605" s="208"/>
      <c r="F1605" s="208"/>
      <c r="G1605" s="208"/>
      <c r="H1605" s="209"/>
      <c r="I1605" s="210"/>
      <c r="J1605" s="210"/>
      <c r="K1605" s="260"/>
      <c r="L1605" s="260"/>
      <c r="M1605" s="260"/>
      <c r="N1605" s="260"/>
      <c r="O1605" s="260"/>
      <c r="P1605" s="211"/>
      <c r="Q1605" s="261"/>
      <c r="R1605" s="208" t="str">
        <f ca="1">IF(ISERROR($V1605),"",OFFSET('Smelter Look-up'!$C$4,$V1605-4,0)&amp;"")</f>
        <v/>
      </c>
      <c r="S1605" s="215" t="str">
        <f t="shared" ca="1" si="228"/>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si="229"/>
        <v>0</v>
      </c>
      <c r="Y1605" s="263"/>
      <c r="Z1605" s="263"/>
      <c r="AB1605" s="265" t="str">
        <f t="shared" si="230"/>
        <v/>
      </c>
    </row>
    <row r="1606" spans="1:28" s="264" customFormat="1" ht="20.399999999999999">
      <c r="A1606" s="207"/>
      <c r="B1606" s="208"/>
      <c r="C1606" s="212"/>
      <c r="D1606" s="270"/>
      <c r="E1606" s="208"/>
      <c r="F1606" s="208"/>
      <c r="G1606" s="208"/>
      <c r="H1606" s="209"/>
      <c r="I1606" s="210"/>
      <c r="J1606" s="210"/>
      <c r="K1606" s="260"/>
      <c r="L1606" s="260"/>
      <c r="M1606" s="260"/>
      <c r="N1606" s="260"/>
      <c r="O1606" s="260"/>
      <c r="P1606" s="211"/>
      <c r="Q1606" s="261"/>
      <c r="R1606" s="208" t="str">
        <f ca="1">IF(ISERROR($V1606),"",OFFSET('Smelter Look-up'!$C$4,$V1606-4,0)&amp;"")</f>
        <v/>
      </c>
      <c r="S1606" s="215" t="str">
        <f t="shared" ca="1" si="228"/>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si="229"/>
        <v>0</v>
      </c>
      <c r="Y1606" s="263"/>
      <c r="Z1606" s="263"/>
      <c r="AB1606" s="265" t="str">
        <f t="shared" si="230"/>
        <v/>
      </c>
    </row>
    <row r="1607" spans="1:28" s="264" customFormat="1" ht="20.399999999999999">
      <c r="A1607" s="207"/>
      <c r="B1607" s="208"/>
      <c r="C1607" s="212"/>
      <c r="D1607" s="270"/>
      <c r="E1607" s="208"/>
      <c r="F1607" s="208"/>
      <c r="G1607" s="208"/>
      <c r="H1607" s="209"/>
      <c r="I1607" s="210"/>
      <c r="J1607" s="210"/>
      <c r="K1607" s="260"/>
      <c r="L1607" s="260"/>
      <c r="M1607" s="260"/>
      <c r="N1607" s="260"/>
      <c r="O1607" s="260"/>
      <c r="P1607" s="211"/>
      <c r="Q1607" s="261"/>
      <c r="R1607" s="208" t="str">
        <f ca="1">IF(ISERROR($V1607),"",OFFSET('Smelter Look-up'!$C$4,$V1607-4,0)&amp;"")</f>
        <v/>
      </c>
      <c r="S1607" s="215" t="str">
        <f t="shared" ca="1" si="228"/>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si="229"/>
        <v>0</v>
      </c>
      <c r="Y1607" s="263"/>
      <c r="Z1607" s="263"/>
      <c r="AB1607" s="265" t="str">
        <f t="shared" si="230"/>
        <v/>
      </c>
    </row>
    <row r="1608" spans="1:28" s="264" customFormat="1" ht="20.399999999999999">
      <c r="A1608" s="207"/>
      <c r="B1608" s="208"/>
      <c r="C1608" s="212"/>
      <c r="D1608" s="270"/>
      <c r="E1608" s="208"/>
      <c r="F1608" s="208"/>
      <c r="G1608" s="208"/>
      <c r="H1608" s="209"/>
      <c r="I1608" s="210"/>
      <c r="J1608" s="210"/>
      <c r="K1608" s="260"/>
      <c r="L1608" s="260"/>
      <c r="M1608" s="260"/>
      <c r="N1608" s="260"/>
      <c r="O1608" s="260"/>
      <c r="P1608" s="211"/>
      <c r="Q1608" s="261"/>
      <c r="R1608" s="208" t="str">
        <f ca="1">IF(ISERROR($V1608),"",OFFSET('Smelter Look-up'!$C$4,$V1608-4,0)&amp;"")</f>
        <v/>
      </c>
      <c r="S1608" s="215" t="str">
        <f t="shared" ca="1" si="228"/>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si="229"/>
        <v>0</v>
      </c>
      <c r="Y1608" s="263"/>
      <c r="Z1608" s="263"/>
      <c r="AB1608" s="265" t="str">
        <f t="shared" si="230"/>
        <v/>
      </c>
    </row>
    <row r="1609" spans="1:28" s="264" customFormat="1" ht="20.399999999999999">
      <c r="A1609" s="207"/>
      <c r="B1609" s="208"/>
      <c r="C1609" s="212"/>
      <c r="D1609" s="270"/>
      <c r="E1609" s="208"/>
      <c r="F1609" s="208"/>
      <c r="G1609" s="208"/>
      <c r="H1609" s="209"/>
      <c r="I1609" s="210"/>
      <c r="J1609" s="210"/>
      <c r="K1609" s="260"/>
      <c r="L1609" s="260"/>
      <c r="M1609" s="260"/>
      <c r="N1609" s="260"/>
      <c r="O1609" s="260"/>
      <c r="P1609" s="211"/>
      <c r="Q1609" s="261"/>
      <c r="R1609" s="208" t="str">
        <f ca="1">IF(ISERROR($V1609),"",OFFSET('Smelter Look-up'!$C$4,$V1609-4,0)&amp;"")</f>
        <v/>
      </c>
      <c r="S1609" s="215" t="str">
        <f t="shared" ca="1" si="228"/>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si="229"/>
        <v>0</v>
      </c>
      <c r="Y1609" s="263"/>
      <c r="Z1609" s="263"/>
      <c r="AB1609" s="265" t="str">
        <f t="shared" si="230"/>
        <v/>
      </c>
    </row>
    <row r="1610" spans="1:28" s="264" customFormat="1" ht="20.399999999999999">
      <c r="A1610" s="207"/>
      <c r="B1610" s="208"/>
      <c r="C1610" s="212"/>
      <c r="D1610" s="270"/>
      <c r="E1610" s="208"/>
      <c r="F1610" s="208"/>
      <c r="G1610" s="208"/>
      <c r="H1610" s="209"/>
      <c r="I1610" s="210"/>
      <c r="J1610" s="210"/>
      <c r="K1610" s="260"/>
      <c r="L1610" s="260"/>
      <c r="M1610" s="260"/>
      <c r="N1610" s="260"/>
      <c r="O1610" s="260"/>
      <c r="P1610" s="211"/>
      <c r="Q1610" s="261"/>
      <c r="R1610" s="208" t="str">
        <f ca="1">IF(ISERROR($V1610),"",OFFSET('Smelter Look-up'!$C$4,$V1610-4,0)&amp;"")</f>
        <v/>
      </c>
      <c r="S1610" s="215" t="str">
        <f t="shared" ca="1" si="228"/>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si="229"/>
        <v>0</v>
      </c>
      <c r="Y1610" s="263"/>
      <c r="Z1610" s="263"/>
      <c r="AB1610" s="265" t="str">
        <f t="shared" si="230"/>
        <v/>
      </c>
    </row>
    <row r="1611" spans="1:28" s="264" customFormat="1" ht="20.399999999999999">
      <c r="A1611" s="207"/>
      <c r="B1611" s="208"/>
      <c r="C1611" s="212"/>
      <c r="D1611" s="270"/>
      <c r="E1611" s="208"/>
      <c r="F1611" s="208"/>
      <c r="G1611" s="208"/>
      <c r="H1611" s="209"/>
      <c r="I1611" s="210"/>
      <c r="J1611" s="210"/>
      <c r="K1611" s="260"/>
      <c r="L1611" s="260"/>
      <c r="M1611" s="260"/>
      <c r="N1611" s="260"/>
      <c r="O1611" s="260"/>
      <c r="P1611" s="211"/>
      <c r="Q1611" s="261"/>
      <c r="R1611" s="208" t="str">
        <f ca="1">IF(ISERROR($V1611),"",OFFSET('Smelter Look-up'!$C$4,$V1611-4,0)&amp;"")</f>
        <v/>
      </c>
      <c r="S1611" s="215" t="str">
        <f t="shared" ca="1" si="228"/>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si="229"/>
        <v>0</v>
      </c>
      <c r="Y1611" s="263"/>
      <c r="Z1611" s="263"/>
      <c r="AB1611" s="265" t="str">
        <f t="shared" si="230"/>
        <v/>
      </c>
    </row>
    <row r="1612" spans="1:28" s="264" customFormat="1" ht="20.399999999999999">
      <c r="A1612" s="207"/>
      <c r="B1612" s="208"/>
      <c r="C1612" s="212"/>
      <c r="D1612" s="270"/>
      <c r="E1612" s="208"/>
      <c r="F1612" s="208"/>
      <c r="G1612" s="208"/>
      <c r="H1612" s="209"/>
      <c r="I1612" s="210"/>
      <c r="J1612" s="210"/>
      <c r="K1612" s="260"/>
      <c r="L1612" s="260"/>
      <c r="M1612" s="260"/>
      <c r="N1612" s="260"/>
      <c r="O1612" s="260"/>
      <c r="P1612" s="211"/>
      <c r="Q1612" s="261"/>
      <c r="R1612" s="208" t="str">
        <f ca="1">IF(ISERROR($V1612),"",OFFSET('Smelter Look-up'!$C$4,$V1612-4,0)&amp;"")</f>
        <v/>
      </c>
      <c r="S1612" s="215" t="str">
        <f t="shared" ca="1" si="228"/>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si="229"/>
        <v>0</v>
      </c>
      <c r="Y1612" s="263"/>
      <c r="Z1612" s="263"/>
      <c r="AB1612" s="265" t="str">
        <f t="shared" si="230"/>
        <v/>
      </c>
    </row>
    <row r="1613" spans="1:28" s="264" customFormat="1" ht="20.399999999999999">
      <c r="A1613" s="207"/>
      <c r="B1613" s="208"/>
      <c r="C1613" s="212"/>
      <c r="D1613" s="270"/>
      <c r="E1613" s="208"/>
      <c r="F1613" s="208"/>
      <c r="G1613" s="208"/>
      <c r="H1613" s="209"/>
      <c r="I1613" s="210"/>
      <c r="J1613" s="210"/>
      <c r="K1613" s="260"/>
      <c r="L1613" s="260"/>
      <c r="M1613" s="260"/>
      <c r="N1613" s="260"/>
      <c r="O1613" s="260"/>
      <c r="P1613" s="211"/>
      <c r="Q1613" s="261"/>
      <c r="R1613" s="208" t="str">
        <f ca="1">IF(ISERROR($V1613),"",OFFSET('Smelter Look-up'!$C$4,$V1613-4,0)&amp;"")</f>
        <v/>
      </c>
      <c r="S1613" s="215" t="str">
        <f t="shared" ca="1" si="228"/>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si="229"/>
        <v>0</v>
      </c>
      <c r="Y1613" s="263"/>
      <c r="Z1613" s="263"/>
      <c r="AB1613" s="265" t="str">
        <f t="shared" si="230"/>
        <v/>
      </c>
    </row>
    <row r="1614" spans="1:28" s="264" customFormat="1" ht="20.399999999999999">
      <c r="A1614" s="207"/>
      <c r="B1614" s="208"/>
      <c r="C1614" s="212"/>
      <c r="D1614" s="270"/>
      <c r="E1614" s="208"/>
      <c r="F1614" s="208"/>
      <c r="G1614" s="208"/>
      <c r="H1614" s="209"/>
      <c r="I1614" s="210"/>
      <c r="J1614" s="210"/>
      <c r="K1614" s="260"/>
      <c r="L1614" s="260"/>
      <c r="M1614" s="260"/>
      <c r="N1614" s="260"/>
      <c r="O1614" s="260"/>
      <c r="P1614" s="211"/>
      <c r="Q1614" s="261"/>
      <c r="R1614" s="208" t="str">
        <f ca="1">IF(ISERROR($V1614),"",OFFSET('Smelter Look-up'!$C$4,$V1614-4,0)&amp;"")</f>
        <v/>
      </c>
      <c r="S1614" s="215" t="str">
        <f t="shared" ca="1" si="228"/>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si="229"/>
        <v>0</v>
      </c>
      <c r="Y1614" s="263"/>
      <c r="Z1614" s="263"/>
      <c r="AB1614" s="265" t="str">
        <f t="shared" si="230"/>
        <v/>
      </c>
    </row>
    <row r="1615" spans="1:28" s="264" customFormat="1" ht="20.399999999999999">
      <c r="A1615" s="207"/>
      <c r="B1615" s="208"/>
      <c r="C1615" s="212"/>
      <c r="D1615" s="270"/>
      <c r="E1615" s="208"/>
      <c r="F1615" s="208"/>
      <c r="G1615" s="208"/>
      <c r="H1615" s="209"/>
      <c r="I1615" s="210"/>
      <c r="J1615" s="210"/>
      <c r="K1615" s="260"/>
      <c r="L1615" s="260"/>
      <c r="M1615" s="260"/>
      <c r="N1615" s="260"/>
      <c r="O1615" s="260"/>
      <c r="P1615" s="211"/>
      <c r="Q1615" s="261"/>
      <c r="R1615" s="208" t="str">
        <f ca="1">IF(ISERROR($V1615),"",OFFSET('Smelter Look-up'!$C$4,$V1615-4,0)&amp;"")</f>
        <v/>
      </c>
      <c r="S1615" s="215" t="str">
        <f t="shared" ca="1" si="228"/>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si="229"/>
        <v>0</v>
      </c>
      <c r="Y1615" s="263"/>
      <c r="Z1615" s="263"/>
      <c r="AB1615" s="265" t="str">
        <f t="shared" si="230"/>
        <v/>
      </c>
    </row>
    <row r="1616" spans="1:28" s="264" customFormat="1" ht="20.399999999999999">
      <c r="A1616" s="207"/>
      <c r="B1616" s="208"/>
      <c r="C1616" s="212"/>
      <c r="D1616" s="270"/>
      <c r="E1616" s="208"/>
      <c r="F1616" s="208"/>
      <c r="G1616" s="208"/>
      <c r="H1616" s="209"/>
      <c r="I1616" s="210"/>
      <c r="J1616" s="210"/>
      <c r="K1616" s="260"/>
      <c r="L1616" s="260"/>
      <c r="M1616" s="260"/>
      <c r="N1616" s="260"/>
      <c r="O1616" s="260"/>
      <c r="P1616" s="211"/>
      <c r="Q1616" s="261"/>
      <c r="R1616" s="208" t="str">
        <f ca="1">IF(ISERROR($V1616),"",OFFSET('Smelter Look-up'!$C$4,$V1616-4,0)&amp;"")</f>
        <v/>
      </c>
      <c r="S1616" s="215" t="str">
        <f t="shared" ca="1" si="228"/>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si="229"/>
        <v>0</v>
      </c>
      <c r="Y1616" s="263"/>
      <c r="Z1616" s="263"/>
      <c r="AB1616" s="265" t="str">
        <f t="shared" si="230"/>
        <v/>
      </c>
    </row>
    <row r="1617" spans="1:28" s="264" customFormat="1" ht="20.399999999999999">
      <c r="A1617" s="207"/>
      <c r="B1617" s="208"/>
      <c r="C1617" s="212"/>
      <c r="D1617" s="270"/>
      <c r="E1617" s="208"/>
      <c r="F1617" s="208"/>
      <c r="G1617" s="208"/>
      <c r="H1617" s="209"/>
      <c r="I1617" s="210"/>
      <c r="J1617" s="210"/>
      <c r="K1617" s="260"/>
      <c r="L1617" s="260"/>
      <c r="M1617" s="260"/>
      <c r="N1617" s="260"/>
      <c r="O1617" s="260"/>
      <c r="P1617" s="211"/>
      <c r="Q1617" s="261"/>
      <c r="R1617" s="208" t="str">
        <f ca="1">IF(ISERROR($V1617),"",OFFSET('Smelter Look-up'!$C$4,$V1617-4,0)&amp;"")</f>
        <v/>
      </c>
      <c r="S1617" s="215" t="str">
        <f t="shared" ca="1" si="228"/>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si="229"/>
        <v>0</v>
      </c>
      <c r="Y1617" s="263"/>
      <c r="Z1617" s="263"/>
      <c r="AB1617" s="265" t="str">
        <f t="shared" si="230"/>
        <v/>
      </c>
    </row>
    <row r="1618" spans="1:28" s="264" customFormat="1" ht="20.399999999999999">
      <c r="A1618" s="207"/>
      <c r="B1618" s="208"/>
      <c r="C1618" s="212"/>
      <c r="D1618" s="270"/>
      <c r="E1618" s="208"/>
      <c r="F1618" s="208"/>
      <c r="G1618" s="208"/>
      <c r="H1618" s="209"/>
      <c r="I1618" s="210"/>
      <c r="J1618" s="210"/>
      <c r="K1618" s="260"/>
      <c r="L1618" s="260"/>
      <c r="M1618" s="260"/>
      <c r="N1618" s="260"/>
      <c r="O1618" s="260"/>
      <c r="P1618" s="211"/>
      <c r="Q1618" s="261"/>
      <c r="R1618" s="208" t="str">
        <f ca="1">IF(ISERROR($V1618),"",OFFSET('Smelter Look-up'!$C$4,$V1618-4,0)&amp;"")</f>
        <v/>
      </c>
      <c r="S1618" s="215" t="str">
        <f t="shared" ca="1" si="228"/>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si="229"/>
        <v>0</v>
      </c>
      <c r="Y1618" s="263"/>
      <c r="Z1618" s="263"/>
      <c r="AB1618" s="265" t="str">
        <f t="shared" si="230"/>
        <v/>
      </c>
    </row>
    <row r="1619" spans="1:28" s="264" customFormat="1" ht="20.399999999999999">
      <c r="A1619" s="207"/>
      <c r="B1619" s="208"/>
      <c r="C1619" s="212"/>
      <c r="D1619" s="270"/>
      <c r="E1619" s="208"/>
      <c r="F1619" s="208"/>
      <c r="G1619" s="208"/>
      <c r="H1619" s="209"/>
      <c r="I1619" s="210"/>
      <c r="J1619" s="210"/>
      <c r="K1619" s="260"/>
      <c r="L1619" s="260"/>
      <c r="M1619" s="260"/>
      <c r="N1619" s="260"/>
      <c r="O1619" s="260"/>
      <c r="P1619" s="211"/>
      <c r="Q1619" s="261"/>
      <c r="R1619" s="208" t="str">
        <f ca="1">IF(ISERROR($V1619),"",OFFSET('Smelter Look-up'!$C$4,$V1619-4,0)&amp;"")</f>
        <v/>
      </c>
      <c r="S1619" s="215" t="str">
        <f t="shared" ca="1" si="228"/>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si="229"/>
        <v>0</v>
      </c>
      <c r="Y1619" s="263"/>
      <c r="Z1619" s="263"/>
      <c r="AB1619" s="265" t="str">
        <f t="shared" si="230"/>
        <v/>
      </c>
    </row>
    <row r="1620" spans="1:28" s="264" customFormat="1" ht="20.399999999999999">
      <c r="A1620" s="207"/>
      <c r="B1620" s="208"/>
      <c r="C1620" s="212"/>
      <c r="D1620" s="270"/>
      <c r="E1620" s="208"/>
      <c r="F1620" s="208"/>
      <c r="G1620" s="208"/>
      <c r="H1620" s="209"/>
      <c r="I1620" s="210"/>
      <c r="J1620" s="210"/>
      <c r="K1620" s="260"/>
      <c r="L1620" s="260"/>
      <c r="M1620" s="260"/>
      <c r="N1620" s="260"/>
      <c r="O1620" s="260"/>
      <c r="P1620" s="211"/>
      <c r="Q1620" s="261"/>
      <c r="R1620" s="208" t="str">
        <f ca="1">IF(ISERROR($V1620),"",OFFSET('Smelter Look-up'!$C$4,$V1620-4,0)&amp;"")</f>
        <v/>
      </c>
      <c r="S1620" s="215" t="str">
        <f t="shared" ca="1" si="228"/>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si="229"/>
        <v>0</v>
      </c>
      <c r="Y1620" s="263"/>
      <c r="Z1620" s="263"/>
      <c r="AB1620" s="265" t="str">
        <f t="shared" si="230"/>
        <v/>
      </c>
    </row>
    <row r="1621" spans="1:28" s="264" customFormat="1" ht="20.399999999999999">
      <c r="A1621" s="207"/>
      <c r="B1621" s="208"/>
      <c r="C1621" s="212"/>
      <c r="D1621" s="270"/>
      <c r="E1621" s="208"/>
      <c r="F1621" s="208"/>
      <c r="G1621" s="208"/>
      <c r="H1621" s="209"/>
      <c r="I1621" s="210"/>
      <c r="J1621" s="210"/>
      <c r="K1621" s="260"/>
      <c r="L1621" s="260"/>
      <c r="M1621" s="260"/>
      <c r="N1621" s="260"/>
      <c r="O1621" s="260"/>
      <c r="P1621" s="211"/>
      <c r="Q1621" s="261"/>
      <c r="R1621" s="208" t="str">
        <f ca="1">IF(ISERROR($V1621),"",OFFSET('Smelter Look-up'!$C$4,$V1621-4,0)&amp;"")</f>
        <v/>
      </c>
      <c r="S1621" s="215" t="str">
        <f t="shared" ca="1" si="228"/>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si="229"/>
        <v>0</v>
      </c>
      <c r="Y1621" s="263"/>
      <c r="Z1621" s="263"/>
      <c r="AB1621" s="265" t="str">
        <f t="shared" si="230"/>
        <v/>
      </c>
    </row>
    <row r="1622" spans="1:28" s="264" customFormat="1" ht="20.399999999999999">
      <c r="A1622" s="207"/>
      <c r="B1622" s="208"/>
      <c r="C1622" s="212"/>
      <c r="D1622" s="270"/>
      <c r="E1622" s="208"/>
      <c r="F1622" s="208"/>
      <c r="G1622" s="208"/>
      <c r="H1622" s="209"/>
      <c r="I1622" s="210"/>
      <c r="J1622" s="210"/>
      <c r="K1622" s="260"/>
      <c r="L1622" s="260"/>
      <c r="M1622" s="260"/>
      <c r="N1622" s="260"/>
      <c r="O1622" s="260"/>
      <c r="P1622" s="211"/>
      <c r="Q1622" s="261"/>
      <c r="R1622" s="208" t="str">
        <f ca="1">IF(ISERROR($V1622),"",OFFSET('Smelter Look-up'!$C$4,$V1622-4,0)&amp;"")</f>
        <v/>
      </c>
      <c r="S1622" s="215" t="str">
        <f t="shared" ca="1" si="228"/>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si="229"/>
        <v>0</v>
      </c>
      <c r="Y1622" s="263"/>
      <c r="Z1622" s="263"/>
      <c r="AB1622" s="265" t="str">
        <f t="shared" si="230"/>
        <v/>
      </c>
    </row>
    <row r="1623" spans="1:28" s="264" customFormat="1" ht="20.399999999999999">
      <c r="A1623" s="207"/>
      <c r="B1623" s="208"/>
      <c r="C1623" s="212"/>
      <c r="D1623" s="270"/>
      <c r="E1623" s="208"/>
      <c r="F1623" s="208"/>
      <c r="G1623" s="208"/>
      <c r="H1623" s="209"/>
      <c r="I1623" s="210"/>
      <c r="J1623" s="210"/>
      <c r="K1623" s="260"/>
      <c r="L1623" s="260"/>
      <c r="M1623" s="260"/>
      <c r="N1623" s="260"/>
      <c r="O1623" s="260"/>
      <c r="P1623" s="211"/>
      <c r="Q1623" s="261"/>
      <c r="R1623" s="208" t="str">
        <f ca="1">IF(ISERROR($V1623),"",OFFSET('Smelter Look-up'!$C$4,$V1623-4,0)&amp;"")</f>
        <v/>
      </c>
      <c r="S1623" s="215" t="str">
        <f t="shared" ca="1" si="228"/>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si="229"/>
        <v>0</v>
      </c>
      <c r="Y1623" s="263"/>
      <c r="Z1623" s="263"/>
      <c r="AB1623" s="265" t="str">
        <f t="shared" si="230"/>
        <v/>
      </c>
    </row>
    <row r="1624" spans="1:28" s="264" customFormat="1" ht="20.399999999999999">
      <c r="A1624" s="207"/>
      <c r="B1624" s="208"/>
      <c r="C1624" s="212"/>
      <c r="D1624" s="270"/>
      <c r="E1624" s="208"/>
      <c r="F1624" s="208"/>
      <c r="G1624" s="208"/>
      <c r="H1624" s="209"/>
      <c r="I1624" s="210"/>
      <c r="J1624" s="210"/>
      <c r="K1624" s="260"/>
      <c r="L1624" s="260"/>
      <c r="M1624" s="260"/>
      <c r="N1624" s="260"/>
      <c r="O1624" s="260"/>
      <c r="P1624" s="211"/>
      <c r="Q1624" s="261"/>
      <c r="R1624" s="208" t="str">
        <f ca="1">IF(ISERROR($V1624),"",OFFSET('Smelter Look-up'!$C$4,$V1624-4,0)&amp;"")</f>
        <v/>
      </c>
      <c r="S1624" s="215" t="str">
        <f t="shared" ca="1" si="228"/>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si="229"/>
        <v>0</v>
      </c>
      <c r="Y1624" s="263"/>
      <c r="Z1624" s="263"/>
      <c r="AB1624" s="265" t="str">
        <f t="shared" si="230"/>
        <v/>
      </c>
    </row>
    <row r="1625" spans="1:28" s="264" customFormat="1" ht="20.399999999999999">
      <c r="A1625" s="207"/>
      <c r="B1625" s="208"/>
      <c r="C1625" s="212"/>
      <c r="D1625" s="270"/>
      <c r="E1625" s="208"/>
      <c r="F1625" s="208"/>
      <c r="G1625" s="208"/>
      <c r="H1625" s="209"/>
      <c r="I1625" s="210"/>
      <c r="J1625" s="210"/>
      <c r="K1625" s="260"/>
      <c r="L1625" s="260"/>
      <c r="M1625" s="260"/>
      <c r="N1625" s="260"/>
      <c r="O1625" s="260"/>
      <c r="P1625" s="211"/>
      <c r="Q1625" s="261"/>
      <c r="R1625" s="208" t="str">
        <f ca="1">IF(ISERROR($V1625),"",OFFSET('Smelter Look-up'!$C$4,$V1625-4,0)&amp;"")</f>
        <v/>
      </c>
      <c r="S1625" s="215" t="str">
        <f t="shared" ca="1" si="228"/>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si="229"/>
        <v>0</v>
      </c>
      <c r="Y1625" s="263"/>
      <c r="Z1625" s="263"/>
      <c r="AB1625" s="265" t="str">
        <f t="shared" si="230"/>
        <v/>
      </c>
    </row>
    <row r="1626" spans="1:28" s="264" customFormat="1" ht="20.399999999999999">
      <c r="A1626" s="207"/>
      <c r="B1626" s="208"/>
      <c r="C1626" s="212"/>
      <c r="D1626" s="270"/>
      <c r="E1626" s="208"/>
      <c r="F1626" s="208"/>
      <c r="G1626" s="208"/>
      <c r="H1626" s="209"/>
      <c r="I1626" s="210"/>
      <c r="J1626" s="210"/>
      <c r="K1626" s="260"/>
      <c r="L1626" s="260"/>
      <c r="M1626" s="260"/>
      <c r="N1626" s="260"/>
      <c r="O1626" s="260"/>
      <c r="P1626" s="211"/>
      <c r="Q1626" s="261"/>
      <c r="R1626" s="208" t="str">
        <f ca="1">IF(ISERROR($V1626),"",OFFSET('Smelter Look-up'!$C$4,$V1626-4,0)&amp;"")</f>
        <v/>
      </c>
      <c r="S1626" s="215" t="str">
        <f t="shared" ca="1" si="228"/>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si="229"/>
        <v>0</v>
      </c>
      <c r="Y1626" s="263"/>
      <c r="Z1626" s="263"/>
      <c r="AB1626" s="265" t="str">
        <f t="shared" si="230"/>
        <v/>
      </c>
    </row>
    <row r="1627" spans="1:28" s="264" customFormat="1" ht="20.399999999999999">
      <c r="A1627" s="207"/>
      <c r="B1627" s="208"/>
      <c r="C1627" s="212"/>
      <c r="D1627" s="270"/>
      <c r="E1627" s="208"/>
      <c r="F1627" s="208"/>
      <c r="G1627" s="208"/>
      <c r="H1627" s="209"/>
      <c r="I1627" s="210"/>
      <c r="J1627" s="210"/>
      <c r="K1627" s="260"/>
      <c r="L1627" s="260"/>
      <c r="M1627" s="260"/>
      <c r="N1627" s="260"/>
      <c r="O1627" s="260"/>
      <c r="P1627" s="211"/>
      <c r="Q1627" s="261"/>
      <c r="R1627" s="208" t="str">
        <f ca="1">IF(ISERROR($V1627),"",OFFSET('Smelter Look-up'!$C$4,$V1627-4,0)&amp;"")</f>
        <v/>
      </c>
      <c r="S1627" s="215" t="str">
        <f t="shared" ca="1" si="228"/>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si="229"/>
        <v>0</v>
      </c>
      <c r="Y1627" s="263"/>
      <c r="Z1627" s="263"/>
      <c r="AB1627" s="265" t="str">
        <f t="shared" si="230"/>
        <v/>
      </c>
    </row>
    <row r="1628" spans="1:28" s="264" customFormat="1" ht="20.399999999999999">
      <c r="A1628" s="207"/>
      <c r="B1628" s="208"/>
      <c r="C1628" s="212"/>
      <c r="D1628" s="270"/>
      <c r="E1628" s="208"/>
      <c r="F1628" s="208"/>
      <c r="G1628" s="208"/>
      <c r="H1628" s="209"/>
      <c r="I1628" s="210"/>
      <c r="J1628" s="210"/>
      <c r="K1628" s="260"/>
      <c r="L1628" s="260"/>
      <c r="M1628" s="260"/>
      <c r="N1628" s="260"/>
      <c r="O1628" s="260"/>
      <c r="P1628" s="211"/>
      <c r="Q1628" s="261"/>
      <c r="R1628" s="208" t="str">
        <f ca="1">IF(ISERROR($V1628),"",OFFSET('Smelter Look-up'!$C$4,$V1628-4,0)&amp;"")</f>
        <v/>
      </c>
      <c r="S1628" s="215" t="str">
        <f t="shared" ref="S1628:S1658" ca="1" si="231">IF(B1628="","",IF(ISERROR(MATCH($E1628,CL,0)),"Unknown",INDIRECT("'C'!$A$"&amp;MATCH($E1628,CL,0)+1)))</f>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ref="X1628:X1658" si="232">IF(AND(C1628="Smelter not listed",OR(LEN(D1628)=0,LEN(E1628)=0)),1,0)</f>
        <v>0</v>
      </c>
      <c r="Y1628" s="263"/>
      <c r="Z1628" s="263"/>
      <c r="AB1628" s="265" t="str">
        <f t="shared" ref="AB1628:AB1658" si="233">B1628&amp;C1628</f>
        <v/>
      </c>
    </row>
    <row r="1629" spans="1:28" s="264" customFormat="1" ht="20.399999999999999">
      <c r="A1629" s="207"/>
      <c r="B1629" s="208"/>
      <c r="C1629" s="212"/>
      <c r="D1629" s="270"/>
      <c r="E1629" s="208"/>
      <c r="F1629" s="208"/>
      <c r="G1629" s="208"/>
      <c r="H1629" s="209"/>
      <c r="I1629" s="210"/>
      <c r="J1629" s="210"/>
      <c r="K1629" s="260"/>
      <c r="L1629" s="260"/>
      <c r="M1629" s="260"/>
      <c r="N1629" s="260"/>
      <c r="O1629" s="260"/>
      <c r="P1629" s="211"/>
      <c r="Q1629" s="261"/>
      <c r="R1629" s="208" t="str">
        <f ca="1">IF(ISERROR($V1629),"",OFFSET('Smelter Look-up'!$C$4,$V1629-4,0)&amp;"")</f>
        <v/>
      </c>
      <c r="S1629" s="215" t="str">
        <f t="shared" ca="1" si="231"/>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si="232"/>
        <v>0</v>
      </c>
      <c r="Y1629" s="263"/>
      <c r="Z1629" s="263"/>
      <c r="AB1629" s="265" t="str">
        <f t="shared" si="233"/>
        <v/>
      </c>
    </row>
    <row r="1630" spans="1:28" s="264" customFormat="1" ht="20.399999999999999">
      <c r="A1630" s="207"/>
      <c r="B1630" s="208"/>
      <c r="C1630" s="212"/>
      <c r="D1630" s="270"/>
      <c r="E1630" s="208"/>
      <c r="F1630" s="208"/>
      <c r="G1630" s="208"/>
      <c r="H1630" s="209"/>
      <c r="I1630" s="210"/>
      <c r="J1630" s="210"/>
      <c r="K1630" s="260"/>
      <c r="L1630" s="260"/>
      <c r="M1630" s="260"/>
      <c r="N1630" s="260"/>
      <c r="O1630" s="260"/>
      <c r="P1630" s="211"/>
      <c r="Q1630" s="261"/>
      <c r="R1630" s="208" t="str">
        <f ca="1">IF(ISERROR($V1630),"",OFFSET('Smelter Look-up'!$C$4,$V1630-4,0)&amp;"")</f>
        <v/>
      </c>
      <c r="S1630" s="215" t="str">
        <f t="shared" ca="1" si="231"/>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si="232"/>
        <v>0</v>
      </c>
      <c r="Y1630" s="263"/>
      <c r="Z1630" s="263"/>
      <c r="AB1630" s="265" t="str">
        <f t="shared" si="233"/>
        <v/>
      </c>
    </row>
    <row r="1631" spans="1:28" s="264" customFormat="1" ht="20.399999999999999">
      <c r="A1631" s="207"/>
      <c r="B1631" s="208"/>
      <c r="C1631" s="212"/>
      <c r="D1631" s="270"/>
      <c r="E1631" s="208"/>
      <c r="F1631" s="208"/>
      <c r="G1631" s="208"/>
      <c r="H1631" s="209"/>
      <c r="I1631" s="210"/>
      <c r="J1631" s="210"/>
      <c r="K1631" s="260"/>
      <c r="L1631" s="260"/>
      <c r="M1631" s="260"/>
      <c r="N1631" s="260"/>
      <c r="O1631" s="260"/>
      <c r="P1631" s="211"/>
      <c r="Q1631" s="261"/>
      <c r="R1631" s="208" t="str">
        <f ca="1">IF(ISERROR($V1631),"",OFFSET('Smelter Look-up'!$C$4,$V1631-4,0)&amp;"")</f>
        <v/>
      </c>
      <c r="S1631" s="215" t="str">
        <f t="shared" ca="1" si="231"/>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si="232"/>
        <v>0</v>
      </c>
      <c r="Y1631" s="263"/>
      <c r="Z1631" s="263"/>
      <c r="AB1631" s="265" t="str">
        <f t="shared" si="233"/>
        <v/>
      </c>
    </row>
    <row r="1632" spans="1:28" s="264" customFormat="1" ht="20.399999999999999">
      <c r="A1632" s="207"/>
      <c r="B1632" s="208"/>
      <c r="C1632" s="212"/>
      <c r="D1632" s="270"/>
      <c r="E1632" s="208"/>
      <c r="F1632" s="208"/>
      <c r="G1632" s="208"/>
      <c r="H1632" s="209"/>
      <c r="I1632" s="210"/>
      <c r="J1632" s="210"/>
      <c r="K1632" s="260"/>
      <c r="L1632" s="260"/>
      <c r="M1632" s="260"/>
      <c r="N1632" s="260"/>
      <c r="O1632" s="260"/>
      <c r="P1632" s="211"/>
      <c r="Q1632" s="261"/>
      <c r="R1632" s="208" t="str">
        <f ca="1">IF(ISERROR($V1632),"",OFFSET('Smelter Look-up'!$C$4,$V1632-4,0)&amp;"")</f>
        <v/>
      </c>
      <c r="S1632" s="215" t="str">
        <f t="shared" ca="1" si="231"/>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si="232"/>
        <v>0</v>
      </c>
      <c r="Y1632" s="263"/>
      <c r="Z1632" s="263"/>
      <c r="AB1632" s="265" t="str">
        <f t="shared" si="233"/>
        <v/>
      </c>
    </row>
    <row r="1633" spans="1:28" s="264" customFormat="1" ht="20.399999999999999">
      <c r="A1633" s="207"/>
      <c r="B1633" s="208"/>
      <c r="C1633" s="212"/>
      <c r="D1633" s="270"/>
      <c r="E1633" s="208"/>
      <c r="F1633" s="208"/>
      <c r="G1633" s="208"/>
      <c r="H1633" s="209"/>
      <c r="I1633" s="210"/>
      <c r="J1633" s="210"/>
      <c r="K1633" s="260"/>
      <c r="L1633" s="260"/>
      <c r="M1633" s="260"/>
      <c r="N1633" s="260"/>
      <c r="O1633" s="260"/>
      <c r="P1633" s="211"/>
      <c r="Q1633" s="261"/>
      <c r="R1633" s="208" t="str">
        <f ca="1">IF(ISERROR($V1633),"",OFFSET('Smelter Look-up'!$C$4,$V1633-4,0)&amp;"")</f>
        <v/>
      </c>
      <c r="S1633" s="215" t="str">
        <f t="shared" ca="1" si="231"/>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si="232"/>
        <v>0</v>
      </c>
      <c r="Y1633" s="263"/>
      <c r="Z1633" s="263"/>
      <c r="AB1633" s="265" t="str">
        <f t="shared" si="233"/>
        <v/>
      </c>
    </row>
    <row r="1634" spans="1:28" s="264" customFormat="1" ht="20.399999999999999">
      <c r="A1634" s="207"/>
      <c r="B1634" s="208"/>
      <c r="C1634" s="212"/>
      <c r="D1634" s="270"/>
      <c r="E1634" s="208"/>
      <c r="F1634" s="208"/>
      <c r="G1634" s="208"/>
      <c r="H1634" s="209"/>
      <c r="I1634" s="210"/>
      <c r="J1634" s="210"/>
      <c r="K1634" s="260"/>
      <c r="L1634" s="260"/>
      <c r="M1634" s="260"/>
      <c r="N1634" s="260"/>
      <c r="O1634" s="260"/>
      <c r="P1634" s="211"/>
      <c r="Q1634" s="261"/>
      <c r="R1634" s="208" t="str">
        <f ca="1">IF(ISERROR($V1634),"",OFFSET('Smelter Look-up'!$C$4,$V1634-4,0)&amp;"")</f>
        <v/>
      </c>
      <c r="S1634" s="215" t="str">
        <f t="shared" ca="1" si="231"/>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si="232"/>
        <v>0</v>
      </c>
      <c r="Y1634" s="263"/>
      <c r="Z1634" s="263"/>
      <c r="AB1634" s="265" t="str">
        <f t="shared" si="233"/>
        <v/>
      </c>
    </row>
    <row r="1635" spans="1:28" s="264" customFormat="1" ht="20.399999999999999">
      <c r="A1635" s="207"/>
      <c r="B1635" s="208"/>
      <c r="C1635" s="212"/>
      <c r="D1635" s="270"/>
      <c r="E1635" s="208"/>
      <c r="F1635" s="208"/>
      <c r="G1635" s="208"/>
      <c r="H1635" s="209"/>
      <c r="I1635" s="210"/>
      <c r="J1635" s="210"/>
      <c r="K1635" s="260"/>
      <c r="L1635" s="260"/>
      <c r="M1635" s="260"/>
      <c r="N1635" s="260"/>
      <c r="O1635" s="260"/>
      <c r="P1635" s="211"/>
      <c r="Q1635" s="261"/>
      <c r="R1635" s="208" t="str">
        <f ca="1">IF(ISERROR($V1635),"",OFFSET('Smelter Look-up'!$C$4,$V1635-4,0)&amp;"")</f>
        <v/>
      </c>
      <c r="S1635" s="215" t="str">
        <f t="shared" ca="1" si="231"/>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si="232"/>
        <v>0</v>
      </c>
      <c r="Y1635" s="263"/>
      <c r="Z1635" s="263"/>
      <c r="AB1635" s="265" t="str">
        <f t="shared" si="233"/>
        <v/>
      </c>
    </row>
    <row r="1636" spans="1:28" s="264" customFormat="1" ht="20.399999999999999">
      <c r="A1636" s="207"/>
      <c r="B1636" s="208"/>
      <c r="C1636" s="212"/>
      <c r="D1636" s="270"/>
      <c r="E1636" s="208"/>
      <c r="F1636" s="208"/>
      <c r="G1636" s="208"/>
      <c r="H1636" s="209"/>
      <c r="I1636" s="210"/>
      <c r="J1636" s="210"/>
      <c r="K1636" s="260"/>
      <c r="L1636" s="260"/>
      <c r="M1636" s="260"/>
      <c r="N1636" s="260"/>
      <c r="O1636" s="260"/>
      <c r="P1636" s="211"/>
      <c r="Q1636" s="261"/>
      <c r="R1636" s="208" t="str">
        <f ca="1">IF(ISERROR($V1636),"",OFFSET('Smelter Look-up'!$C$4,$V1636-4,0)&amp;"")</f>
        <v/>
      </c>
      <c r="S1636" s="215" t="str">
        <f t="shared" ca="1" si="231"/>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si="232"/>
        <v>0</v>
      </c>
      <c r="Y1636" s="263"/>
      <c r="Z1636" s="263"/>
      <c r="AB1636" s="265" t="str">
        <f t="shared" si="233"/>
        <v/>
      </c>
    </row>
    <row r="1637" spans="1:28" s="264" customFormat="1" ht="20.399999999999999">
      <c r="A1637" s="207"/>
      <c r="B1637" s="208"/>
      <c r="C1637" s="212"/>
      <c r="D1637" s="270"/>
      <c r="E1637" s="208"/>
      <c r="F1637" s="208"/>
      <c r="G1637" s="208"/>
      <c r="H1637" s="209"/>
      <c r="I1637" s="210"/>
      <c r="J1637" s="210"/>
      <c r="K1637" s="260"/>
      <c r="L1637" s="260"/>
      <c r="M1637" s="260"/>
      <c r="N1637" s="260"/>
      <c r="O1637" s="260"/>
      <c r="P1637" s="211"/>
      <c r="Q1637" s="261"/>
      <c r="R1637" s="208" t="str">
        <f ca="1">IF(ISERROR($V1637),"",OFFSET('Smelter Look-up'!$C$4,$V1637-4,0)&amp;"")</f>
        <v/>
      </c>
      <c r="S1637" s="215" t="str">
        <f t="shared" ca="1" si="231"/>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si="232"/>
        <v>0</v>
      </c>
      <c r="Y1637" s="263"/>
      <c r="Z1637" s="263"/>
      <c r="AB1637" s="265" t="str">
        <f t="shared" si="233"/>
        <v/>
      </c>
    </row>
    <row r="1638" spans="1:28" s="264" customFormat="1" ht="20.399999999999999">
      <c r="A1638" s="207"/>
      <c r="B1638" s="208"/>
      <c r="C1638" s="212"/>
      <c r="D1638" s="270"/>
      <c r="E1638" s="208"/>
      <c r="F1638" s="208"/>
      <c r="G1638" s="208"/>
      <c r="H1638" s="209"/>
      <c r="I1638" s="210"/>
      <c r="J1638" s="210"/>
      <c r="K1638" s="260"/>
      <c r="L1638" s="260"/>
      <c r="M1638" s="260"/>
      <c r="N1638" s="260"/>
      <c r="O1638" s="260"/>
      <c r="P1638" s="211"/>
      <c r="Q1638" s="261"/>
      <c r="R1638" s="208" t="str">
        <f ca="1">IF(ISERROR($V1638),"",OFFSET('Smelter Look-up'!$C$4,$V1638-4,0)&amp;"")</f>
        <v/>
      </c>
      <c r="S1638" s="215" t="str">
        <f t="shared" ca="1" si="231"/>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si="232"/>
        <v>0</v>
      </c>
      <c r="Y1638" s="263"/>
      <c r="Z1638" s="263"/>
      <c r="AB1638" s="265" t="str">
        <f t="shared" si="233"/>
        <v/>
      </c>
    </row>
    <row r="1639" spans="1:28" s="264" customFormat="1" ht="20.399999999999999">
      <c r="A1639" s="207"/>
      <c r="B1639" s="208"/>
      <c r="C1639" s="212"/>
      <c r="D1639" s="270"/>
      <c r="E1639" s="208"/>
      <c r="F1639" s="208"/>
      <c r="G1639" s="208"/>
      <c r="H1639" s="209"/>
      <c r="I1639" s="210"/>
      <c r="J1639" s="210"/>
      <c r="K1639" s="260"/>
      <c r="L1639" s="260"/>
      <c r="M1639" s="260"/>
      <c r="N1639" s="260"/>
      <c r="O1639" s="260"/>
      <c r="P1639" s="211"/>
      <c r="Q1639" s="261"/>
      <c r="R1639" s="208" t="str">
        <f ca="1">IF(ISERROR($V1639),"",OFFSET('Smelter Look-up'!$C$4,$V1639-4,0)&amp;"")</f>
        <v/>
      </c>
      <c r="S1639" s="215" t="str">
        <f t="shared" ca="1" si="231"/>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si="232"/>
        <v>0</v>
      </c>
      <c r="Y1639" s="263"/>
      <c r="Z1639" s="263"/>
      <c r="AB1639" s="265" t="str">
        <f t="shared" si="233"/>
        <v/>
      </c>
    </row>
    <row r="1640" spans="1:28" s="264" customFormat="1" ht="20.399999999999999">
      <c r="A1640" s="207"/>
      <c r="B1640" s="208"/>
      <c r="C1640" s="212"/>
      <c r="D1640" s="270"/>
      <c r="E1640" s="208"/>
      <c r="F1640" s="208"/>
      <c r="G1640" s="208"/>
      <c r="H1640" s="209"/>
      <c r="I1640" s="210"/>
      <c r="J1640" s="210"/>
      <c r="K1640" s="260"/>
      <c r="L1640" s="260"/>
      <c r="M1640" s="260"/>
      <c r="N1640" s="260"/>
      <c r="O1640" s="260"/>
      <c r="P1640" s="211"/>
      <c r="Q1640" s="261"/>
      <c r="R1640" s="208" t="str">
        <f ca="1">IF(ISERROR($V1640),"",OFFSET('Smelter Look-up'!$C$4,$V1640-4,0)&amp;"")</f>
        <v/>
      </c>
      <c r="S1640" s="215" t="str">
        <f t="shared" ca="1" si="231"/>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si="232"/>
        <v>0</v>
      </c>
      <c r="Y1640" s="263"/>
      <c r="Z1640" s="263"/>
      <c r="AB1640" s="265" t="str">
        <f t="shared" si="233"/>
        <v/>
      </c>
    </row>
    <row r="1641" spans="1:28" s="264" customFormat="1" ht="20.399999999999999">
      <c r="A1641" s="207"/>
      <c r="B1641" s="208"/>
      <c r="C1641" s="212"/>
      <c r="D1641" s="270"/>
      <c r="E1641" s="208"/>
      <c r="F1641" s="208"/>
      <c r="G1641" s="208"/>
      <c r="H1641" s="209"/>
      <c r="I1641" s="210"/>
      <c r="J1641" s="210"/>
      <c r="K1641" s="260"/>
      <c r="L1641" s="260"/>
      <c r="M1641" s="260"/>
      <c r="N1641" s="260"/>
      <c r="O1641" s="260"/>
      <c r="P1641" s="211"/>
      <c r="Q1641" s="261"/>
      <c r="R1641" s="208" t="str">
        <f ca="1">IF(ISERROR($V1641),"",OFFSET('Smelter Look-up'!$C$4,$V1641-4,0)&amp;"")</f>
        <v/>
      </c>
      <c r="S1641" s="215" t="str">
        <f t="shared" ca="1" si="231"/>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si="232"/>
        <v>0</v>
      </c>
      <c r="Y1641" s="263"/>
      <c r="Z1641" s="263"/>
      <c r="AB1641" s="265" t="str">
        <f t="shared" si="233"/>
        <v/>
      </c>
    </row>
    <row r="1642" spans="1:28" s="264" customFormat="1" ht="20.399999999999999">
      <c r="A1642" s="207"/>
      <c r="B1642" s="208"/>
      <c r="C1642" s="212"/>
      <c r="D1642" s="270"/>
      <c r="E1642" s="208"/>
      <c r="F1642" s="208"/>
      <c r="G1642" s="208"/>
      <c r="H1642" s="209"/>
      <c r="I1642" s="210"/>
      <c r="J1642" s="210"/>
      <c r="K1642" s="260"/>
      <c r="L1642" s="260"/>
      <c r="M1642" s="260"/>
      <c r="N1642" s="260"/>
      <c r="O1642" s="260"/>
      <c r="P1642" s="211"/>
      <c r="Q1642" s="261"/>
      <c r="R1642" s="208" t="str">
        <f ca="1">IF(ISERROR($V1642),"",OFFSET('Smelter Look-up'!$C$4,$V1642-4,0)&amp;"")</f>
        <v/>
      </c>
      <c r="S1642" s="215" t="str">
        <f t="shared" ca="1" si="231"/>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si="232"/>
        <v>0</v>
      </c>
      <c r="Y1642" s="263"/>
      <c r="Z1642" s="263"/>
      <c r="AB1642" s="265" t="str">
        <f t="shared" si="233"/>
        <v/>
      </c>
    </row>
    <row r="1643" spans="1:28" s="264" customFormat="1" ht="20.399999999999999">
      <c r="A1643" s="207"/>
      <c r="B1643" s="208"/>
      <c r="C1643" s="212"/>
      <c r="D1643" s="270"/>
      <c r="E1643" s="208"/>
      <c r="F1643" s="208"/>
      <c r="G1643" s="208"/>
      <c r="H1643" s="209"/>
      <c r="I1643" s="210"/>
      <c r="J1643" s="210"/>
      <c r="K1643" s="260"/>
      <c r="L1643" s="260"/>
      <c r="M1643" s="260"/>
      <c r="N1643" s="260"/>
      <c r="O1643" s="260"/>
      <c r="P1643" s="211"/>
      <c r="Q1643" s="261"/>
      <c r="R1643" s="208" t="str">
        <f ca="1">IF(ISERROR($V1643),"",OFFSET('Smelter Look-up'!$C$4,$V1643-4,0)&amp;"")</f>
        <v/>
      </c>
      <c r="S1643" s="215" t="str">
        <f t="shared" ca="1" si="231"/>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si="232"/>
        <v>0</v>
      </c>
      <c r="Y1643" s="263"/>
      <c r="Z1643" s="263"/>
      <c r="AB1643" s="265" t="str">
        <f t="shared" si="233"/>
        <v/>
      </c>
    </row>
    <row r="1644" spans="1:28" s="264" customFormat="1" ht="20.399999999999999">
      <c r="A1644" s="207"/>
      <c r="B1644" s="208"/>
      <c r="C1644" s="212"/>
      <c r="D1644" s="270"/>
      <c r="E1644" s="208"/>
      <c r="F1644" s="208"/>
      <c r="G1644" s="208"/>
      <c r="H1644" s="209"/>
      <c r="I1644" s="210"/>
      <c r="J1644" s="210"/>
      <c r="K1644" s="260"/>
      <c r="L1644" s="260"/>
      <c r="M1644" s="260"/>
      <c r="N1644" s="260"/>
      <c r="O1644" s="260"/>
      <c r="P1644" s="211"/>
      <c r="Q1644" s="261"/>
      <c r="R1644" s="208" t="str">
        <f ca="1">IF(ISERROR($V1644),"",OFFSET('Smelter Look-up'!$C$4,$V1644-4,0)&amp;"")</f>
        <v/>
      </c>
      <c r="S1644" s="215" t="str">
        <f t="shared" ca="1" si="231"/>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si="232"/>
        <v>0</v>
      </c>
      <c r="Y1644" s="263"/>
      <c r="Z1644" s="263"/>
      <c r="AB1644" s="265" t="str">
        <f t="shared" si="233"/>
        <v/>
      </c>
    </row>
    <row r="1645" spans="1:28" s="264" customFormat="1" ht="20.399999999999999">
      <c r="A1645" s="207"/>
      <c r="B1645" s="208"/>
      <c r="C1645" s="212"/>
      <c r="D1645" s="270"/>
      <c r="E1645" s="208"/>
      <c r="F1645" s="208"/>
      <c r="G1645" s="208"/>
      <c r="H1645" s="209"/>
      <c r="I1645" s="210"/>
      <c r="J1645" s="210"/>
      <c r="K1645" s="260"/>
      <c r="L1645" s="260"/>
      <c r="M1645" s="260"/>
      <c r="N1645" s="260"/>
      <c r="O1645" s="260"/>
      <c r="P1645" s="211"/>
      <c r="Q1645" s="261"/>
      <c r="R1645" s="208" t="str">
        <f ca="1">IF(ISERROR($V1645),"",OFFSET('Smelter Look-up'!$C$4,$V1645-4,0)&amp;"")</f>
        <v/>
      </c>
      <c r="S1645" s="215" t="str">
        <f t="shared" ca="1" si="231"/>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si="232"/>
        <v>0</v>
      </c>
      <c r="Y1645" s="263"/>
      <c r="Z1645" s="263"/>
      <c r="AB1645" s="265" t="str">
        <f t="shared" si="233"/>
        <v/>
      </c>
    </row>
    <row r="1646" spans="1:28" s="264" customFormat="1" ht="20.399999999999999">
      <c r="A1646" s="207"/>
      <c r="B1646" s="208"/>
      <c r="C1646" s="212"/>
      <c r="D1646" s="270"/>
      <c r="E1646" s="208"/>
      <c r="F1646" s="208"/>
      <c r="G1646" s="208"/>
      <c r="H1646" s="209"/>
      <c r="I1646" s="210"/>
      <c r="J1646" s="210"/>
      <c r="K1646" s="260"/>
      <c r="L1646" s="260"/>
      <c r="M1646" s="260"/>
      <c r="N1646" s="260"/>
      <c r="O1646" s="260"/>
      <c r="P1646" s="211"/>
      <c r="Q1646" s="261"/>
      <c r="R1646" s="208" t="str">
        <f ca="1">IF(ISERROR($V1646),"",OFFSET('Smelter Look-up'!$C$4,$V1646-4,0)&amp;"")</f>
        <v/>
      </c>
      <c r="S1646" s="215" t="str">
        <f t="shared" ca="1" si="231"/>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si="232"/>
        <v>0</v>
      </c>
      <c r="Y1646" s="263"/>
      <c r="Z1646" s="263"/>
      <c r="AB1646" s="265" t="str">
        <f t="shared" si="233"/>
        <v/>
      </c>
    </row>
    <row r="1647" spans="1:28" s="264" customFormat="1" ht="20.399999999999999">
      <c r="A1647" s="207"/>
      <c r="B1647" s="208"/>
      <c r="C1647" s="212"/>
      <c r="D1647" s="270"/>
      <c r="E1647" s="208"/>
      <c r="F1647" s="208"/>
      <c r="G1647" s="208"/>
      <c r="H1647" s="209"/>
      <c r="I1647" s="210"/>
      <c r="J1647" s="210"/>
      <c r="K1647" s="260"/>
      <c r="L1647" s="260"/>
      <c r="M1647" s="260"/>
      <c r="N1647" s="260"/>
      <c r="O1647" s="260"/>
      <c r="P1647" s="211"/>
      <c r="Q1647" s="261"/>
      <c r="R1647" s="208" t="str">
        <f ca="1">IF(ISERROR($V1647),"",OFFSET('Smelter Look-up'!$C$4,$V1647-4,0)&amp;"")</f>
        <v/>
      </c>
      <c r="S1647" s="215" t="str">
        <f t="shared" ca="1" si="231"/>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si="232"/>
        <v>0</v>
      </c>
      <c r="Y1647" s="263"/>
      <c r="Z1647" s="263"/>
      <c r="AB1647" s="265" t="str">
        <f t="shared" si="233"/>
        <v/>
      </c>
    </row>
    <row r="1648" spans="1:28" s="264" customFormat="1" ht="20.399999999999999">
      <c r="A1648" s="207"/>
      <c r="B1648" s="208"/>
      <c r="C1648" s="212"/>
      <c r="D1648" s="270"/>
      <c r="E1648" s="208"/>
      <c r="F1648" s="208"/>
      <c r="G1648" s="208"/>
      <c r="H1648" s="209"/>
      <c r="I1648" s="210"/>
      <c r="J1648" s="210"/>
      <c r="K1648" s="260"/>
      <c r="L1648" s="260"/>
      <c r="M1648" s="260"/>
      <c r="N1648" s="260"/>
      <c r="O1648" s="260"/>
      <c r="P1648" s="211"/>
      <c r="Q1648" s="261"/>
      <c r="R1648" s="208" t="str">
        <f ca="1">IF(ISERROR($V1648),"",OFFSET('Smelter Look-up'!$C$4,$V1648-4,0)&amp;"")</f>
        <v/>
      </c>
      <c r="S1648" s="215" t="str">
        <f t="shared" ca="1" si="231"/>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si="232"/>
        <v>0</v>
      </c>
      <c r="Y1648" s="263"/>
      <c r="Z1648" s="263"/>
      <c r="AB1648" s="265" t="str">
        <f t="shared" si="233"/>
        <v/>
      </c>
    </row>
    <row r="1649" spans="1:28" s="264" customFormat="1" ht="20.399999999999999">
      <c r="A1649" s="207"/>
      <c r="B1649" s="208"/>
      <c r="C1649" s="212"/>
      <c r="D1649" s="270"/>
      <c r="E1649" s="208"/>
      <c r="F1649" s="208"/>
      <c r="G1649" s="208"/>
      <c r="H1649" s="209"/>
      <c r="I1649" s="210"/>
      <c r="J1649" s="210"/>
      <c r="K1649" s="260"/>
      <c r="L1649" s="260"/>
      <c r="M1649" s="260"/>
      <c r="N1649" s="260"/>
      <c r="O1649" s="260"/>
      <c r="P1649" s="211"/>
      <c r="Q1649" s="261"/>
      <c r="R1649" s="208" t="str">
        <f ca="1">IF(ISERROR($V1649),"",OFFSET('Smelter Look-up'!$C$4,$V1649-4,0)&amp;"")</f>
        <v/>
      </c>
      <c r="S1649" s="215" t="str">
        <f t="shared" ca="1" si="231"/>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si="232"/>
        <v>0</v>
      </c>
      <c r="Y1649" s="263"/>
      <c r="Z1649" s="263"/>
      <c r="AB1649" s="265" t="str">
        <f t="shared" si="233"/>
        <v/>
      </c>
    </row>
    <row r="1650" spans="1:28" s="264" customFormat="1" ht="20.399999999999999">
      <c r="A1650" s="207"/>
      <c r="B1650" s="208"/>
      <c r="C1650" s="212"/>
      <c r="D1650" s="270"/>
      <c r="E1650" s="208"/>
      <c r="F1650" s="208"/>
      <c r="G1650" s="208"/>
      <c r="H1650" s="209"/>
      <c r="I1650" s="210"/>
      <c r="J1650" s="210"/>
      <c r="K1650" s="260"/>
      <c r="L1650" s="260"/>
      <c r="M1650" s="260"/>
      <c r="N1650" s="260"/>
      <c r="O1650" s="260"/>
      <c r="P1650" s="211"/>
      <c r="Q1650" s="261"/>
      <c r="R1650" s="208" t="str">
        <f ca="1">IF(ISERROR($V1650),"",OFFSET('Smelter Look-up'!$C$4,$V1650-4,0)&amp;"")</f>
        <v/>
      </c>
      <c r="S1650" s="215" t="str">
        <f t="shared" ca="1" si="231"/>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si="232"/>
        <v>0</v>
      </c>
      <c r="Y1650" s="263"/>
      <c r="Z1650" s="263"/>
      <c r="AB1650" s="265" t="str">
        <f t="shared" si="233"/>
        <v/>
      </c>
    </row>
    <row r="1651" spans="1:28" s="264" customFormat="1" ht="20.399999999999999">
      <c r="A1651" s="207"/>
      <c r="B1651" s="208"/>
      <c r="C1651" s="212"/>
      <c r="D1651" s="270"/>
      <c r="E1651" s="208"/>
      <c r="F1651" s="208"/>
      <c r="G1651" s="208"/>
      <c r="H1651" s="209"/>
      <c r="I1651" s="210"/>
      <c r="J1651" s="210"/>
      <c r="K1651" s="260"/>
      <c r="L1651" s="260"/>
      <c r="M1651" s="260"/>
      <c r="N1651" s="260"/>
      <c r="O1651" s="260"/>
      <c r="P1651" s="211"/>
      <c r="Q1651" s="261"/>
      <c r="R1651" s="208" t="str">
        <f ca="1">IF(ISERROR($V1651),"",OFFSET('Smelter Look-up'!$C$4,$V1651-4,0)&amp;"")</f>
        <v/>
      </c>
      <c r="S1651" s="215" t="str">
        <f t="shared" ca="1" si="231"/>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si="232"/>
        <v>0</v>
      </c>
      <c r="Y1651" s="263"/>
      <c r="Z1651" s="263"/>
      <c r="AB1651" s="265" t="str">
        <f t="shared" si="233"/>
        <v/>
      </c>
    </row>
    <row r="1652" spans="1:28" s="264" customFormat="1" ht="20.399999999999999">
      <c r="A1652" s="207"/>
      <c r="B1652" s="208"/>
      <c r="C1652" s="212"/>
      <c r="D1652" s="270"/>
      <c r="E1652" s="208"/>
      <c r="F1652" s="208"/>
      <c r="G1652" s="208"/>
      <c r="H1652" s="209"/>
      <c r="I1652" s="210"/>
      <c r="J1652" s="210"/>
      <c r="K1652" s="260"/>
      <c r="L1652" s="260"/>
      <c r="M1652" s="260"/>
      <c r="N1652" s="260"/>
      <c r="O1652" s="260"/>
      <c r="P1652" s="211"/>
      <c r="Q1652" s="261"/>
      <c r="R1652" s="208" t="str">
        <f ca="1">IF(ISERROR($V1652),"",OFFSET('Smelter Look-up'!$C$4,$V1652-4,0)&amp;"")</f>
        <v/>
      </c>
      <c r="S1652" s="215" t="str">
        <f t="shared" ca="1" si="231"/>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si="232"/>
        <v>0</v>
      </c>
      <c r="Y1652" s="263"/>
      <c r="Z1652" s="263"/>
      <c r="AB1652" s="265" t="str">
        <f t="shared" si="233"/>
        <v/>
      </c>
    </row>
    <row r="1653" spans="1:28" s="264" customFormat="1" ht="20.399999999999999">
      <c r="A1653" s="207"/>
      <c r="B1653" s="208"/>
      <c r="C1653" s="212"/>
      <c r="D1653" s="270"/>
      <c r="E1653" s="208"/>
      <c r="F1653" s="208"/>
      <c r="G1653" s="208"/>
      <c r="H1653" s="209"/>
      <c r="I1653" s="210"/>
      <c r="J1653" s="210"/>
      <c r="K1653" s="260"/>
      <c r="L1653" s="260"/>
      <c r="M1653" s="260"/>
      <c r="N1653" s="260"/>
      <c r="O1653" s="260"/>
      <c r="P1653" s="211"/>
      <c r="Q1653" s="261"/>
      <c r="R1653" s="208" t="str">
        <f ca="1">IF(ISERROR($V1653),"",OFFSET('Smelter Look-up'!$C$4,$V1653-4,0)&amp;"")</f>
        <v/>
      </c>
      <c r="S1653" s="215" t="str">
        <f t="shared" ca="1" si="231"/>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si="232"/>
        <v>0</v>
      </c>
      <c r="Y1653" s="263"/>
      <c r="Z1653" s="263"/>
      <c r="AB1653" s="265" t="str">
        <f t="shared" si="233"/>
        <v/>
      </c>
    </row>
    <row r="1654" spans="1:28" s="264" customFormat="1" ht="20.399999999999999">
      <c r="A1654" s="207"/>
      <c r="B1654" s="208"/>
      <c r="C1654" s="212"/>
      <c r="D1654" s="270"/>
      <c r="E1654" s="208"/>
      <c r="F1654" s="208"/>
      <c r="G1654" s="208"/>
      <c r="H1654" s="209"/>
      <c r="I1654" s="210"/>
      <c r="J1654" s="210"/>
      <c r="K1654" s="260"/>
      <c r="L1654" s="260"/>
      <c r="M1654" s="260"/>
      <c r="N1654" s="260"/>
      <c r="O1654" s="260"/>
      <c r="P1654" s="211"/>
      <c r="Q1654" s="261"/>
      <c r="R1654" s="208" t="str">
        <f ca="1">IF(ISERROR($V1654),"",OFFSET('Smelter Look-up'!$C$4,$V1654-4,0)&amp;"")</f>
        <v/>
      </c>
      <c r="S1654" s="215" t="str">
        <f t="shared" ca="1" si="231"/>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si="232"/>
        <v>0</v>
      </c>
      <c r="Y1654" s="263"/>
      <c r="Z1654" s="263"/>
      <c r="AB1654" s="265" t="str">
        <f t="shared" si="233"/>
        <v/>
      </c>
    </row>
    <row r="1655" spans="1:28" s="264" customFormat="1" ht="20.399999999999999">
      <c r="A1655" s="207"/>
      <c r="B1655" s="208"/>
      <c r="C1655" s="212"/>
      <c r="D1655" s="270"/>
      <c r="E1655" s="208"/>
      <c r="F1655" s="208"/>
      <c r="G1655" s="208"/>
      <c r="H1655" s="209"/>
      <c r="I1655" s="210"/>
      <c r="J1655" s="210"/>
      <c r="K1655" s="260"/>
      <c r="L1655" s="260"/>
      <c r="M1655" s="260"/>
      <c r="N1655" s="260"/>
      <c r="O1655" s="260"/>
      <c r="P1655" s="211"/>
      <c r="Q1655" s="261"/>
      <c r="R1655" s="208" t="str">
        <f ca="1">IF(ISERROR($V1655),"",OFFSET('Smelter Look-up'!$C$4,$V1655-4,0)&amp;"")</f>
        <v/>
      </c>
      <c r="S1655" s="215" t="str">
        <f t="shared" ca="1" si="231"/>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si="232"/>
        <v>0</v>
      </c>
      <c r="Y1655" s="263"/>
      <c r="Z1655" s="263"/>
      <c r="AB1655" s="265" t="str">
        <f t="shared" si="233"/>
        <v/>
      </c>
    </row>
    <row r="1656" spans="1:28" s="264" customFormat="1" ht="20.399999999999999">
      <c r="A1656" s="207"/>
      <c r="B1656" s="208"/>
      <c r="C1656" s="212"/>
      <c r="D1656" s="270"/>
      <c r="E1656" s="208"/>
      <c r="F1656" s="208"/>
      <c r="G1656" s="208"/>
      <c r="H1656" s="209"/>
      <c r="I1656" s="210"/>
      <c r="J1656" s="210"/>
      <c r="K1656" s="260"/>
      <c r="L1656" s="260"/>
      <c r="M1656" s="260"/>
      <c r="N1656" s="260"/>
      <c r="O1656" s="260"/>
      <c r="P1656" s="211"/>
      <c r="Q1656" s="261"/>
      <c r="R1656" s="208" t="str">
        <f ca="1">IF(ISERROR($V1656),"",OFFSET('Smelter Look-up'!$C$4,$V1656-4,0)&amp;"")</f>
        <v/>
      </c>
      <c r="S1656" s="215" t="str">
        <f t="shared" ca="1" si="231"/>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si="232"/>
        <v>0</v>
      </c>
      <c r="Y1656" s="263"/>
      <c r="Z1656" s="263"/>
      <c r="AB1656" s="265" t="str">
        <f t="shared" si="233"/>
        <v/>
      </c>
    </row>
    <row r="1657" spans="1:28" s="264" customFormat="1" ht="20.399999999999999">
      <c r="A1657" s="207"/>
      <c r="B1657" s="208"/>
      <c r="C1657" s="212"/>
      <c r="D1657" s="270"/>
      <c r="E1657" s="208"/>
      <c r="F1657" s="208"/>
      <c r="G1657" s="208"/>
      <c r="H1657" s="209"/>
      <c r="I1657" s="210"/>
      <c r="J1657" s="210"/>
      <c r="K1657" s="260"/>
      <c r="L1657" s="260"/>
      <c r="M1657" s="260"/>
      <c r="N1657" s="260"/>
      <c r="O1657" s="260"/>
      <c r="P1657" s="211"/>
      <c r="Q1657" s="261"/>
      <c r="R1657" s="208" t="str">
        <f ca="1">IF(ISERROR($V1657),"",OFFSET('Smelter Look-up'!$C$4,$V1657-4,0)&amp;"")</f>
        <v/>
      </c>
      <c r="S1657" s="215" t="str">
        <f t="shared" ca="1" si="231"/>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si="232"/>
        <v>0</v>
      </c>
      <c r="Y1657" s="263"/>
      <c r="Z1657" s="263"/>
      <c r="AB1657" s="265" t="str">
        <f t="shared" si="233"/>
        <v/>
      </c>
    </row>
    <row r="1658" spans="1:28" s="264" customFormat="1" ht="20.399999999999999">
      <c r="A1658" s="207"/>
      <c r="B1658" s="208"/>
      <c r="C1658" s="212"/>
      <c r="D1658" s="270"/>
      <c r="E1658" s="208"/>
      <c r="F1658" s="208"/>
      <c r="G1658" s="208"/>
      <c r="H1658" s="209"/>
      <c r="I1658" s="210"/>
      <c r="J1658" s="210"/>
      <c r="K1658" s="260"/>
      <c r="L1658" s="260"/>
      <c r="M1658" s="260"/>
      <c r="N1658" s="260"/>
      <c r="O1658" s="260"/>
      <c r="P1658" s="211"/>
      <c r="Q1658" s="261"/>
      <c r="R1658" s="208" t="str">
        <f ca="1">IF(ISERROR($V1658),"",OFFSET('Smelter Look-up'!$C$4,$V1658-4,0)&amp;"")</f>
        <v/>
      </c>
      <c r="S1658" s="215" t="str">
        <f t="shared" ca="1" si="231"/>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si="232"/>
        <v>0</v>
      </c>
      <c r="Y1658" s="263"/>
      <c r="Z1658" s="263"/>
      <c r="AB1658" s="265" t="str">
        <f t="shared" si="233"/>
        <v/>
      </c>
    </row>
    <row r="1659" spans="1:28" s="264" customFormat="1" ht="20.399999999999999">
      <c r="A1659" s="207"/>
      <c r="B1659" s="208"/>
      <c r="C1659" s="212"/>
      <c r="D1659" s="270"/>
      <c r="E1659" s="208"/>
      <c r="F1659" s="208"/>
      <c r="G1659" s="208"/>
      <c r="H1659" s="209"/>
      <c r="I1659" s="210"/>
      <c r="J1659" s="210"/>
      <c r="K1659" s="260"/>
      <c r="L1659" s="260"/>
      <c r="M1659" s="260"/>
      <c r="N1659" s="260"/>
      <c r="O1659" s="260"/>
      <c r="P1659" s="211"/>
      <c r="Q1659" s="261"/>
      <c r="R1659" s="208" t="str">
        <f ca="1">IF(ISERROR($V1659),"",OFFSET('Smelter Look-up'!$C$4,$V1659-4,0)&amp;"")</f>
        <v/>
      </c>
      <c r="S1659" s="215" t="str">
        <f t="shared" ref="S1659" ca="1" si="234">IF(B1659="","",IF(ISERROR(MATCH($E1659,CL,0)),"Unknown",INDIRECT("'C'!$A$"&amp;MATCH($E1659,CL,0)+1)))</f>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ref="X1659" si="235">IF(AND(C1659="Smelter not listed",OR(LEN(D1659)=0,LEN(E1659)=0)),1,0)</f>
        <v>0</v>
      </c>
      <c r="Y1659" s="263"/>
      <c r="Z1659" s="263"/>
      <c r="AB1659" s="265" t="str">
        <f t="shared" ref="AB1659" si="236">B1659&amp;C1659</f>
        <v/>
      </c>
    </row>
    <row r="1660" spans="1:28" s="264" customFormat="1" ht="20.399999999999999">
      <c r="A1660" s="207"/>
      <c r="B1660" s="208"/>
      <c r="C1660" s="212"/>
      <c r="D1660" s="270"/>
      <c r="E1660" s="208"/>
      <c r="F1660" s="208"/>
      <c r="G1660" s="208"/>
      <c r="H1660" s="209"/>
      <c r="I1660" s="210"/>
      <c r="J1660" s="210"/>
      <c r="K1660" s="260"/>
      <c r="L1660" s="260"/>
      <c r="M1660" s="260"/>
      <c r="N1660" s="260"/>
      <c r="O1660" s="260"/>
      <c r="P1660" s="211"/>
      <c r="Q1660" s="261"/>
      <c r="R1660" s="208" t="str">
        <f ca="1">IF(ISERROR($V1660),"",OFFSET('Smelter Look-up'!$C$4,$V1660-4,0)&amp;"")</f>
        <v/>
      </c>
      <c r="S1660" s="215" t="str">
        <f t="shared" ref="S1660:S1691" ca="1" si="237">IF(B1660="","",IF(ISERROR(MATCH($E1660,CL,0)),"Unknown",INDIRECT("'C'!$A$"&amp;MATCH($E1660,CL,0)+1)))</f>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ref="X1660:X1691" si="238">IF(AND(C1660="Smelter not listed",OR(LEN(D1660)=0,LEN(E1660)=0)),1,0)</f>
        <v>0</v>
      </c>
      <c r="Y1660" s="263"/>
      <c r="Z1660" s="263"/>
      <c r="AB1660" s="265" t="str">
        <f t="shared" ref="AB1660:AB1691" si="239">B1660&amp;C1660</f>
        <v/>
      </c>
    </row>
    <row r="1661" spans="1:28" s="264" customFormat="1" ht="20.399999999999999">
      <c r="A1661" s="207"/>
      <c r="B1661" s="208"/>
      <c r="C1661" s="212"/>
      <c r="D1661" s="270"/>
      <c r="E1661" s="208"/>
      <c r="F1661" s="208"/>
      <c r="G1661" s="208"/>
      <c r="H1661" s="209"/>
      <c r="I1661" s="210"/>
      <c r="J1661" s="210"/>
      <c r="K1661" s="260"/>
      <c r="L1661" s="260"/>
      <c r="M1661" s="260"/>
      <c r="N1661" s="260"/>
      <c r="O1661" s="260"/>
      <c r="P1661" s="211"/>
      <c r="Q1661" s="261"/>
      <c r="R1661" s="208" t="str">
        <f ca="1">IF(ISERROR($V1661),"",OFFSET('Smelter Look-up'!$C$4,$V1661-4,0)&amp;"")</f>
        <v/>
      </c>
      <c r="S1661" s="215" t="str">
        <f t="shared" ca="1" si="237"/>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si="238"/>
        <v>0</v>
      </c>
      <c r="Y1661" s="263"/>
      <c r="Z1661" s="263"/>
      <c r="AB1661" s="265" t="str">
        <f t="shared" si="239"/>
        <v/>
      </c>
    </row>
    <row r="1662" spans="1:28" s="264" customFormat="1" ht="20.399999999999999">
      <c r="A1662" s="207"/>
      <c r="B1662" s="208"/>
      <c r="C1662" s="212"/>
      <c r="D1662" s="270"/>
      <c r="E1662" s="208"/>
      <c r="F1662" s="208"/>
      <c r="G1662" s="208"/>
      <c r="H1662" s="209"/>
      <c r="I1662" s="210"/>
      <c r="J1662" s="210"/>
      <c r="K1662" s="260"/>
      <c r="L1662" s="260"/>
      <c r="M1662" s="260"/>
      <c r="N1662" s="260"/>
      <c r="O1662" s="260"/>
      <c r="P1662" s="211"/>
      <c r="Q1662" s="261"/>
      <c r="R1662" s="208" t="str">
        <f ca="1">IF(ISERROR($V1662),"",OFFSET('Smelter Look-up'!$C$4,$V1662-4,0)&amp;"")</f>
        <v/>
      </c>
      <c r="S1662" s="215" t="str">
        <f t="shared" ca="1" si="237"/>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si="238"/>
        <v>0</v>
      </c>
      <c r="Y1662" s="263"/>
      <c r="Z1662" s="263"/>
      <c r="AB1662" s="265" t="str">
        <f t="shared" si="239"/>
        <v/>
      </c>
    </row>
    <row r="1663" spans="1:28" s="264" customFormat="1" ht="20.399999999999999">
      <c r="A1663" s="207"/>
      <c r="B1663" s="208"/>
      <c r="C1663" s="212"/>
      <c r="D1663" s="270"/>
      <c r="E1663" s="208"/>
      <c r="F1663" s="208"/>
      <c r="G1663" s="208"/>
      <c r="H1663" s="209"/>
      <c r="I1663" s="210"/>
      <c r="J1663" s="210"/>
      <c r="K1663" s="260"/>
      <c r="L1663" s="260"/>
      <c r="M1663" s="260"/>
      <c r="N1663" s="260"/>
      <c r="O1663" s="260"/>
      <c r="P1663" s="211"/>
      <c r="Q1663" s="261"/>
      <c r="R1663" s="208" t="str">
        <f ca="1">IF(ISERROR($V1663),"",OFFSET('Smelter Look-up'!$C$4,$V1663-4,0)&amp;"")</f>
        <v/>
      </c>
      <c r="S1663" s="215" t="str">
        <f t="shared" ca="1" si="237"/>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si="238"/>
        <v>0</v>
      </c>
      <c r="Y1663" s="263"/>
      <c r="Z1663" s="263"/>
      <c r="AB1663" s="265" t="str">
        <f t="shared" si="239"/>
        <v/>
      </c>
    </row>
    <row r="1664" spans="1:28" s="264" customFormat="1" ht="20.399999999999999">
      <c r="A1664" s="207"/>
      <c r="B1664" s="208"/>
      <c r="C1664" s="212"/>
      <c r="D1664" s="270"/>
      <c r="E1664" s="208"/>
      <c r="F1664" s="208"/>
      <c r="G1664" s="208"/>
      <c r="H1664" s="209"/>
      <c r="I1664" s="210"/>
      <c r="J1664" s="210"/>
      <c r="K1664" s="260"/>
      <c r="L1664" s="260"/>
      <c r="M1664" s="260"/>
      <c r="N1664" s="260"/>
      <c r="O1664" s="260"/>
      <c r="P1664" s="211"/>
      <c r="Q1664" s="261"/>
      <c r="R1664" s="208" t="str">
        <f ca="1">IF(ISERROR($V1664),"",OFFSET('Smelter Look-up'!$C$4,$V1664-4,0)&amp;"")</f>
        <v/>
      </c>
      <c r="S1664" s="215" t="str">
        <f t="shared" ca="1" si="237"/>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si="238"/>
        <v>0</v>
      </c>
      <c r="Y1664" s="263"/>
      <c r="Z1664" s="263"/>
      <c r="AB1664" s="265" t="str">
        <f t="shared" si="239"/>
        <v/>
      </c>
    </row>
    <row r="1665" spans="1:28" s="264" customFormat="1" ht="20.399999999999999">
      <c r="A1665" s="207"/>
      <c r="B1665" s="208"/>
      <c r="C1665" s="212"/>
      <c r="D1665" s="270"/>
      <c r="E1665" s="208"/>
      <c r="F1665" s="208"/>
      <c r="G1665" s="208"/>
      <c r="H1665" s="209"/>
      <c r="I1665" s="210"/>
      <c r="J1665" s="210"/>
      <c r="K1665" s="260"/>
      <c r="L1665" s="260"/>
      <c r="M1665" s="260"/>
      <c r="N1665" s="260"/>
      <c r="O1665" s="260"/>
      <c r="P1665" s="211"/>
      <c r="Q1665" s="261"/>
      <c r="R1665" s="208" t="str">
        <f ca="1">IF(ISERROR($V1665),"",OFFSET('Smelter Look-up'!$C$4,$V1665-4,0)&amp;"")</f>
        <v/>
      </c>
      <c r="S1665" s="215" t="str">
        <f t="shared" ca="1" si="237"/>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si="238"/>
        <v>0</v>
      </c>
      <c r="Y1665" s="263"/>
      <c r="Z1665" s="263"/>
      <c r="AB1665" s="265" t="str">
        <f t="shared" si="239"/>
        <v/>
      </c>
    </row>
    <row r="1666" spans="1:28" s="264" customFormat="1" ht="20.399999999999999">
      <c r="A1666" s="207"/>
      <c r="B1666" s="208"/>
      <c r="C1666" s="212"/>
      <c r="D1666" s="270"/>
      <c r="E1666" s="208"/>
      <c r="F1666" s="208"/>
      <c r="G1666" s="208"/>
      <c r="H1666" s="209"/>
      <c r="I1666" s="210"/>
      <c r="J1666" s="210"/>
      <c r="K1666" s="260"/>
      <c r="L1666" s="260"/>
      <c r="M1666" s="260"/>
      <c r="N1666" s="260"/>
      <c r="O1666" s="260"/>
      <c r="P1666" s="211"/>
      <c r="Q1666" s="261"/>
      <c r="R1666" s="208" t="str">
        <f ca="1">IF(ISERROR($V1666),"",OFFSET('Smelter Look-up'!$C$4,$V1666-4,0)&amp;"")</f>
        <v/>
      </c>
      <c r="S1666" s="215" t="str">
        <f t="shared" ca="1" si="237"/>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si="238"/>
        <v>0</v>
      </c>
      <c r="Y1666" s="263"/>
      <c r="Z1666" s="263"/>
      <c r="AB1666" s="265" t="str">
        <f t="shared" si="239"/>
        <v/>
      </c>
    </row>
    <row r="1667" spans="1:28" s="264" customFormat="1" ht="20.399999999999999">
      <c r="A1667" s="207"/>
      <c r="B1667" s="208"/>
      <c r="C1667" s="212"/>
      <c r="D1667" s="270"/>
      <c r="E1667" s="208"/>
      <c r="F1667" s="208"/>
      <c r="G1667" s="208"/>
      <c r="H1667" s="209"/>
      <c r="I1667" s="210"/>
      <c r="J1667" s="210"/>
      <c r="K1667" s="260"/>
      <c r="L1667" s="260"/>
      <c r="M1667" s="260"/>
      <c r="N1667" s="260"/>
      <c r="O1667" s="260"/>
      <c r="P1667" s="211"/>
      <c r="Q1667" s="261"/>
      <c r="R1667" s="208" t="str">
        <f ca="1">IF(ISERROR($V1667),"",OFFSET('Smelter Look-up'!$C$4,$V1667-4,0)&amp;"")</f>
        <v/>
      </c>
      <c r="S1667" s="215" t="str">
        <f t="shared" ca="1" si="237"/>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si="238"/>
        <v>0</v>
      </c>
      <c r="Y1667" s="263"/>
      <c r="Z1667" s="263"/>
      <c r="AB1667" s="265" t="str">
        <f t="shared" si="239"/>
        <v/>
      </c>
    </row>
    <row r="1668" spans="1:28" s="264" customFormat="1" ht="20.399999999999999">
      <c r="A1668" s="207"/>
      <c r="B1668" s="208"/>
      <c r="C1668" s="212"/>
      <c r="D1668" s="270"/>
      <c r="E1668" s="208"/>
      <c r="F1668" s="208"/>
      <c r="G1668" s="208"/>
      <c r="H1668" s="209"/>
      <c r="I1668" s="210"/>
      <c r="J1668" s="210"/>
      <c r="K1668" s="260"/>
      <c r="L1668" s="260"/>
      <c r="M1668" s="260"/>
      <c r="N1668" s="260"/>
      <c r="O1668" s="260"/>
      <c r="P1668" s="211"/>
      <c r="Q1668" s="261"/>
      <c r="R1668" s="208" t="str">
        <f ca="1">IF(ISERROR($V1668),"",OFFSET('Smelter Look-up'!$C$4,$V1668-4,0)&amp;"")</f>
        <v/>
      </c>
      <c r="S1668" s="215" t="str">
        <f t="shared" ca="1" si="237"/>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si="238"/>
        <v>0</v>
      </c>
      <c r="Y1668" s="263"/>
      <c r="Z1668" s="263"/>
      <c r="AB1668" s="265" t="str">
        <f t="shared" si="239"/>
        <v/>
      </c>
    </row>
    <row r="1669" spans="1:28" s="264" customFormat="1" ht="20.399999999999999">
      <c r="A1669" s="207"/>
      <c r="B1669" s="208"/>
      <c r="C1669" s="212"/>
      <c r="D1669" s="270"/>
      <c r="E1669" s="208"/>
      <c r="F1669" s="208"/>
      <c r="G1669" s="208"/>
      <c r="H1669" s="209"/>
      <c r="I1669" s="210"/>
      <c r="J1669" s="210"/>
      <c r="K1669" s="260"/>
      <c r="L1669" s="260"/>
      <c r="M1669" s="260"/>
      <c r="N1669" s="260"/>
      <c r="O1669" s="260"/>
      <c r="P1669" s="211"/>
      <c r="Q1669" s="261"/>
      <c r="R1669" s="208" t="str">
        <f ca="1">IF(ISERROR($V1669),"",OFFSET('Smelter Look-up'!$C$4,$V1669-4,0)&amp;"")</f>
        <v/>
      </c>
      <c r="S1669" s="215" t="str">
        <f t="shared" ca="1" si="237"/>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si="238"/>
        <v>0</v>
      </c>
      <c r="Y1669" s="263"/>
      <c r="Z1669" s="263"/>
      <c r="AB1669" s="265" t="str">
        <f t="shared" si="239"/>
        <v/>
      </c>
    </row>
    <row r="1670" spans="1:28" s="264" customFormat="1" ht="20.399999999999999">
      <c r="A1670" s="207"/>
      <c r="B1670" s="208"/>
      <c r="C1670" s="212"/>
      <c r="D1670" s="270"/>
      <c r="E1670" s="208"/>
      <c r="F1670" s="208"/>
      <c r="G1670" s="208"/>
      <c r="H1670" s="209"/>
      <c r="I1670" s="210"/>
      <c r="J1670" s="210"/>
      <c r="K1670" s="260"/>
      <c r="L1670" s="260"/>
      <c r="M1670" s="260"/>
      <c r="N1670" s="260"/>
      <c r="O1670" s="260"/>
      <c r="P1670" s="211"/>
      <c r="Q1670" s="261"/>
      <c r="R1670" s="208" t="str">
        <f ca="1">IF(ISERROR($V1670),"",OFFSET('Smelter Look-up'!$C$4,$V1670-4,0)&amp;"")</f>
        <v/>
      </c>
      <c r="S1670" s="215" t="str">
        <f t="shared" ca="1" si="237"/>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si="238"/>
        <v>0</v>
      </c>
      <c r="Y1670" s="263"/>
      <c r="Z1670" s="263"/>
      <c r="AB1670" s="265" t="str">
        <f t="shared" si="239"/>
        <v/>
      </c>
    </row>
    <row r="1671" spans="1:28" s="264" customFormat="1" ht="20.399999999999999">
      <c r="A1671" s="207"/>
      <c r="B1671" s="208"/>
      <c r="C1671" s="212"/>
      <c r="D1671" s="270"/>
      <c r="E1671" s="208"/>
      <c r="F1671" s="208"/>
      <c r="G1671" s="208"/>
      <c r="H1671" s="209"/>
      <c r="I1671" s="210"/>
      <c r="J1671" s="210"/>
      <c r="K1671" s="260"/>
      <c r="L1671" s="260"/>
      <c r="M1671" s="260"/>
      <c r="N1671" s="260"/>
      <c r="O1671" s="260"/>
      <c r="P1671" s="211"/>
      <c r="Q1671" s="261"/>
      <c r="R1671" s="208" t="str">
        <f ca="1">IF(ISERROR($V1671),"",OFFSET('Smelter Look-up'!$C$4,$V1671-4,0)&amp;"")</f>
        <v/>
      </c>
      <c r="S1671" s="215" t="str">
        <f t="shared" ca="1" si="237"/>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si="238"/>
        <v>0</v>
      </c>
      <c r="Y1671" s="263"/>
      <c r="Z1671" s="263"/>
      <c r="AB1671" s="265" t="str">
        <f t="shared" si="239"/>
        <v/>
      </c>
    </row>
    <row r="1672" spans="1:28" s="264" customFormat="1" ht="20.399999999999999">
      <c r="A1672" s="207"/>
      <c r="B1672" s="208"/>
      <c r="C1672" s="212"/>
      <c r="D1672" s="270"/>
      <c r="E1672" s="208"/>
      <c r="F1672" s="208"/>
      <c r="G1672" s="208"/>
      <c r="H1672" s="209"/>
      <c r="I1672" s="210"/>
      <c r="J1672" s="210"/>
      <c r="K1672" s="260"/>
      <c r="L1672" s="260"/>
      <c r="M1672" s="260"/>
      <c r="N1672" s="260"/>
      <c r="O1672" s="260"/>
      <c r="P1672" s="211"/>
      <c r="Q1672" s="261"/>
      <c r="R1672" s="208" t="str">
        <f ca="1">IF(ISERROR($V1672),"",OFFSET('Smelter Look-up'!$C$4,$V1672-4,0)&amp;"")</f>
        <v/>
      </c>
      <c r="S1672" s="215" t="str">
        <f t="shared" ca="1" si="237"/>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si="238"/>
        <v>0</v>
      </c>
      <c r="Y1672" s="263"/>
      <c r="Z1672" s="263"/>
      <c r="AB1672" s="265" t="str">
        <f t="shared" si="239"/>
        <v/>
      </c>
    </row>
    <row r="1673" spans="1:28" s="264" customFormat="1" ht="20.399999999999999">
      <c r="A1673" s="207"/>
      <c r="B1673" s="208"/>
      <c r="C1673" s="212"/>
      <c r="D1673" s="270"/>
      <c r="E1673" s="208"/>
      <c r="F1673" s="208"/>
      <c r="G1673" s="208"/>
      <c r="H1673" s="209"/>
      <c r="I1673" s="210"/>
      <c r="J1673" s="210"/>
      <c r="K1673" s="260"/>
      <c r="L1673" s="260"/>
      <c r="M1673" s="260"/>
      <c r="N1673" s="260"/>
      <c r="O1673" s="260"/>
      <c r="P1673" s="211"/>
      <c r="Q1673" s="261"/>
      <c r="R1673" s="208" t="str">
        <f ca="1">IF(ISERROR($V1673),"",OFFSET('Smelter Look-up'!$C$4,$V1673-4,0)&amp;"")</f>
        <v/>
      </c>
      <c r="S1673" s="215" t="str">
        <f t="shared" ca="1" si="237"/>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si="238"/>
        <v>0</v>
      </c>
      <c r="Y1673" s="263"/>
      <c r="Z1673" s="263"/>
      <c r="AB1673" s="265" t="str">
        <f t="shared" si="239"/>
        <v/>
      </c>
    </row>
    <row r="1674" spans="1:28" s="264" customFormat="1" ht="20.399999999999999">
      <c r="A1674" s="207"/>
      <c r="B1674" s="208"/>
      <c r="C1674" s="212"/>
      <c r="D1674" s="270"/>
      <c r="E1674" s="208"/>
      <c r="F1674" s="208"/>
      <c r="G1674" s="208"/>
      <c r="H1674" s="209"/>
      <c r="I1674" s="210"/>
      <c r="J1674" s="210"/>
      <c r="K1674" s="260"/>
      <c r="L1674" s="260"/>
      <c r="M1674" s="260"/>
      <c r="N1674" s="260"/>
      <c r="O1674" s="260"/>
      <c r="P1674" s="211"/>
      <c r="Q1674" s="261"/>
      <c r="R1674" s="208" t="str">
        <f ca="1">IF(ISERROR($V1674),"",OFFSET('Smelter Look-up'!$C$4,$V1674-4,0)&amp;"")</f>
        <v/>
      </c>
      <c r="S1674" s="215" t="str">
        <f t="shared" ca="1" si="237"/>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si="238"/>
        <v>0</v>
      </c>
      <c r="Y1674" s="263"/>
      <c r="Z1674" s="263"/>
      <c r="AB1674" s="265" t="str">
        <f t="shared" si="239"/>
        <v/>
      </c>
    </row>
    <row r="1675" spans="1:28" s="264" customFormat="1" ht="20.399999999999999">
      <c r="A1675" s="207"/>
      <c r="B1675" s="208"/>
      <c r="C1675" s="212"/>
      <c r="D1675" s="270"/>
      <c r="E1675" s="208"/>
      <c r="F1675" s="208"/>
      <c r="G1675" s="208"/>
      <c r="H1675" s="209"/>
      <c r="I1675" s="210"/>
      <c r="J1675" s="210"/>
      <c r="K1675" s="260"/>
      <c r="L1675" s="260"/>
      <c r="M1675" s="260"/>
      <c r="N1675" s="260"/>
      <c r="O1675" s="260"/>
      <c r="P1675" s="211"/>
      <c r="Q1675" s="261"/>
      <c r="R1675" s="208" t="str">
        <f ca="1">IF(ISERROR($V1675),"",OFFSET('Smelter Look-up'!$C$4,$V1675-4,0)&amp;"")</f>
        <v/>
      </c>
      <c r="S1675" s="215" t="str">
        <f t="shared" ca="1" si="237"/>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si="238"/>
        <v>0</v>
      </c>
      <c r="Y1675" s="263"/>
      <c r="Z1675" s="263"/>
      <c r="AB1675" s="265" t="str">
        <f t="shared" si="239"/>
        <v/>
      </c>
    </row>
    <row r="1676" spans="1:28" s="264" customFormat="1" ht="20.399999999999999">
      <c r="A1676" s="207"/>
      <c r="B1676" s="208"/>
      <c r="C1676" s="212"/>
      <c r="D1676" s="270"/>
      <c r="E1676" s="208"/>
      <c r="F1676" s="208"/>
      <c r="G1676" s="208"/>
      <c r="H1676" s="209"/>
      <c r="I1676" s="210"/>
      <c r="J1676" s="210"/>
      <c r="K1676" s="260"/>
      <c r="L1676" s="260"/>
      <c r="M1676" s="260"/>
      <c r="N1676" s="260"/>
      <c r="O1676" s="260"/>
      <c r="P1676" s="211"/>
      <c r="Q1676" s="261"/>
      <c r="R1676" s="208" t="str">
        <f ca="1">IF(ISERROR($V1676),"",OFFSET('Smelter Look-up'!$C$4,$V1676-4,0)&amp;"")</f>
        <v/>
      </c>
      <c r="S1676" s="215" t="str">
        <f t="shared" ca="1" si="237"/>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si="238"/>
        <v>0</v>
      </c>
      <c r="Y1676" s="263"/>
      <c r="Z1676" s="263"/>
      <c r="AB1676" s="265" t="str">
        <f t="shared" si="239"/>
        <v/>
      </c>
    </row>
    <row r="1677" spans="1:28" s="264" customFormat="1" ht="20.399999999999999">
      <c r="A1677" s="207"/>
      <c r="B1677" s="208"/>
      <c r="C1677" s="212"/>
      <c r="D1677" s="270"/>
      <c r="E1677" s="208"/>
      <c r="F1677" s="208"/>
      <c r="G1677" s="208"/>
      <c r="H1677" s="209"/>
      <c r="I1677" s="210"/>
      <c r="J1677" s="210"/>
      <c r="K1677" s="260"/>
      <c r="L1677" s="260"/>
      <c r="M1677" s="260"/>
      <c r="N1677" s="260"/>
      <c r="O1677" s="260"/>
      <c r="P1677" s="211"/>
      <c r="Q1677" s="261"/>
      <c r="R1677" s="208" t="str">
        <f ca="1">IF(ISERROR($V1677),"",OFFSET('Smelter Look-up'!$C$4,$V1677-4,0)&amp;"")</f>
        <v/>
      </c>
      <c r="S1677" s="215" t="str">
        <f t="shared" ca="1" si="237"/>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si="238"/>
        <v>0</v>
      </c>
      <c r="Y1677" s="263"/>
      <c r="Z1677" s="263"/>
      <c r="AB1677" s="265" t="str">
        <f t="shared" si="239"/>
        <v/>
      </c>
    </row>
    <row r="1678" spans="1:28" s="264" customFormat="1" ht="20.399999999999999">
      <c r="A1678" s="207"/>
      <c r="B1678" s="208"/>
      <c r="C1678" s="212"/>
      <c r="D1678" s="270"/>
      <c r="E1678" s="208"/>
      <c r="F1678" s="208"/>
      <c r="G1678" s="208"/>
      <c r="H1678" s="209"/>
      <c r="I1678" s="210"/>
      <c r="J1678" s="210"/>
      <c r="K1678" s="260"/>
      <c r="L1678" s="260"/>
      <c r="M1678" s="260"/>
      <c r="N1678" s="260"/>
      <c r="O1678" s="260"/>
      <c r="P1678" s="211"/>
      <c r="Q1678" s="261"/>
      <c r="R1678" s="208" t="str">
        <f ca="1">IF(ISERROR($V1678),"",OFFSET('Smelter Look-up'!$C$4,$V1678-4,0)&amp;"")</f>
        <v/>
      </c>
      <c r="S1678" s="215" t="str">
        <f t="shared" ca="1" si="237"/>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si="238"/>
        <v>0</v>
      </c>
      <c r="Y1678" s="263"/>
      <c r="Z1678" s="263"/>
      <c r="AB1678" s="265" t="str">
        <f t="shared" si="239"/>
        <v/>
      </c>
    </row>
    <row r="1679" spans="1:28" s="264" customFormat="1" ht="20.399999999999999">
      <c r="A1679" s="207"/>
      <c r="B1679" s="208"/>
      <c r="C1679" s="212"/>
      <c r="D1679" s="270"/>
      <c r="E1679" s="208"/>
      <c r="F1679" s="208"/>
      <c r="G1679" s="208"/>
      <c r="H1679" s="209"/>
      <c r="I1679" s="210"/>
      <c r="J1679" s="210"/>
      <c r="K1679" s="260"/>
      <c r="L1679" s="260"/>
      <c r="M1679" s="260"/>
      <c r="N1679" s="260"/>
      <c r="O1679" s="260"/>
      <c r="P1679" s="211"/>
      <c r="Q1679" s="261"/>
      <c r="R1679" s="208" t="str">
        <f ca="1">IF(ISERROR($V1679),"",OFFSET('Smelter Look-up'!$C$4,$V1679-4,0)&amp;"")</f>
        <v/>
      </c>
      <c r="S1679" s="215" t="str">
        <f t="shared" ca="1" si="237"/>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si="238"/>
        <v>0</v>
      </c>
      <c r="Y1679" s="263"/>
      <c r="Z1679" s="263"/>
      <c r="AB1679" s="265" t="str">
        <f t="shared" si="239"/>
        <v/>
      </c>
    </row>
    <row r="1680" spans="1:28" s="264" customFormat="1" ht="20.399999999999999">
      <c r="A1680" s="207"/>
      <c r="B1680" s="208"/>
      <c r="C1680" s="212"/>
      <c r="D1680" s="270"/>
      <c r="E1680" s="208"/>
      <c r="F1680" s="208"/>
      <c r="G1680" s="208"/>
      <c r="H1680" s="209"/>
      <c r="I1680" s="210"/>
      <c r="J1680" s="210"/>
      <c r="K1680" s="260"/>
      <c r="L1680" s="260"/>
      <c r="M1680" s="260"/>
      <c r="N1680" s="260"/>
      <c r="O1680" s="260"/>
      <c r="P1680" s="211"/>
      <c r="Q1680" s="261"/>
      <c r="R1680" s="208" t="str">
        <f ca="1">IF(ISERROR($V1680),"",OFFSET('Smelter Look-up'!$C$4,$V1680-4,0)&amp;"")</f>
        <v/>
      </c>
      <c r="S1680" s="215" t="str">
        <f t="shared" ca="1" si="237"/>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si="238"/>
        <v>0</v>
      </c>
      <c r="Y1680" s="263"/>
      <c r="Z1680" s="263"/>
      <c r="AB1680" s="265" t="str">
        <f t="shared" si="239"/>
        <v/>
      </c>
    </row>
    <row r="1681" spans="1:28" s="264" customFormat="1" ht="20.399999999999999">
      <c r="A1681" s="207"/>
      <c r="B1681" s="208"/>
      <c r="C1681" s="212"/>
      <c r="D1681" s="270"/>
      <c r="E1681" s="208"/>
      <c r="F1681" s="208"/>
      <c r="G1681" s="208"/>
      <c r="H1681" s="209"/>
      <c r="I1681" s="210"/>
      <c r="J1681" s="210"/>
      <c r="K1681" s="260"/>
      <c r="L1681" s="260"/>
      <c r="M1681" s="260"/>
      <c r="N1681" s="260"/>
      <c r="O1681" s="260"/>
      <c r="P1681" s="211"/>
      <c r="Q1681" s="261"/>
      <c r="R1681" s="208" t="str">
        <f ca="1">IF(ISERROR($V1681),"",OFFSET('Smelter Look-up'!$C$4,$V1681-4,0)&amp;"")</f>
        <v/>
      </c>
      <c r="S1681" s="215" t="str">
        <f t="shared" ca="1" si="237"/>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si="238"/>
        <v>0</v>
      </c>
      <c r="Y1681" s="263"/>
      <c r="Z1681" s="263"/>
      <c r="AB1681" s="265" t="str">
        <f t="shared" si="239"/>
        <v/>
      </c>
    </row>
    <row r="1682" spans="1:28" s="264" customFormat="1" ht="20.399999999999999">
      <c r="A1682" s="207"/>
      <c r="B1682" s="208"/>
      <c r="C1682" s="212"/>
      <c r="D1682" s="270"/>
      <c r="E1682" s="208"/>
      <c r="F1682" s="208"/>
      <c r="G1682" s="208"/>
      <c r="H1682" s="209"/>
      <c r="I1682" s="210"/>
      <c r="J1682" s="210"/>
      <c r="K1682" s="260"/>
      <c r="L1682" s="260"/>
      <c r="M1682" s="260"/>
      <c r="N1682" s="260"/>
      <c r="O1682" s="260"/>
      <c r="P1682" s="211"/>
      <c r="Q1682" s="261"/>
      <c r="R1682" s="208" t="str">
        <f ca="1">IF(ISERROR($V1682),"",OFFSET('Smelter Look-up'!$C$4,$V1682-4,0)&amp;"")</f>
        <v/>
      </c>
      <c r="S1682" s="215" t="str">
        <f t="shared" ca="1" si="237"/>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si="238"/>
        <v>0</v>
      </c>
      <c r="Y1682" s="263"/>
      <c r="Z1682" s="263"/>
      <c r="AB1682" s="265" t="str">
        <f t="shared" si="239"/>
        <v/>
      </c>
    </row>
    <row r="1683" spans="1:28" s="264" customFormat="1" ht="20.399999999999999">
      <c r="A1683" s="207"/>
      <c r="B1683" s="208"/>
      <c r="C1683" s="212"/>
      <c r="D1683" s="270"/>
      <c r="E1683" s="208"/>
      <c r="F1683" s="208"/>
      <c r="G1683" s="208"/>
      <c r="H1683" s="209"/>
      <c r="I1683" s="210"/>
      <c r="J1683" s="210"/>
      <c r="K1683" s="260"/>
      <c r="L1683" s="260"/>
      <c r="M1683" s="260"/>
      <c r="N1683" s="260"/>
      <c r="O1683" s="260"/>
      <c r="P1683" s="211"/>
      <c r="Q1683" s="261"/>
      <c r="R1683" s="208" t="str">
        <f ca="1">IF(ISERROR($V1683),"",OFFSET('Smelter Look-up'!$C$4,$V1683-4,0)&amp;"")</f>
        <v/>
      </c>
      <c r="S1683" s="215" t="str">
        <f t="shared" ca="1" si="237"/>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si="238"/>
        <v>0</v>
      </c>
      <c r="Y1683" s="263"/>
      <c r="Z1683" s="263"/>
      <c r="AB1683" s="265" t="str">
        <f t="shared" si="239"/>
        <v/>
      </c>
    </row>
    <row r="1684" spans="1:28" s="264" customFormat="1" ht="20.399999999999999">
      <c r="A1684" s="207"/>
      <c r="B1684" s="208"/>
      <c r="C1684" s="212"/>
      <c r="D1684" s="270"/>
      <c r="E1684" s="208"/>
      <c r="F1684" s="208"/>
      <c r="G1684" s="208"/>
      <c r="H1684" s="209"/>
      <c r="I1684" s="210"/>
      <c r="J1684" s="210"/>
      <c r="K1684" s="260"/>
      <c r="L1684" s="260"/>
      <c r="M1684" s="260"/>
      <c r="N1684" s="260"/>
      <c r="O1684" s="260"/>
      <c r="P1684" s="211"/>
      <c r="Q1684" s="261"/>
      <c r="R1684" s="208" t="str">
        <f ca="1">IF(ISERROR($V1684),"",OFFSET('Smelter Look-up'!$C$4,$V1684-4,0)&amp;"")</f>
        <v/>
      </c>
      <c r="S1684" s="215" t="str">
        <f t="shared" ca="1" si="237"/>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si="238"/>
        <v>0</v>
      </c>
      <c r="Y1684" s="263"/>
      <c r="Z1684" s="263"/>
      <c r="AB1684" s="265" t="str">
        <f t="shared" si="239"/>
        <v/>
      </c>
    </row>
    <row r="1685" spans="1:28" s="264" customFormat="1" ht="20.399999999999999">
      <c r="A1685" s="207"/>
      <c r="B1685" s="208"/>
      <c r="C1685" s="212"/>
      <c r="D1685" s="270"/>
      <c r="E1685" s="208"/>
      <c r="F1685" s="208"/>
      <c r="G1685" s="208"/>
      <c r="H1685" s="209"/>
      <c r="I1685" s="210"/>
      <c r="J1685" s="210"/>
      <c r="K1685" s="260"/>
      <c r="L1685" s="260"/>
      <c r="M1685" s="260"/>
      <c r="N1685" s="260"/>
      <c r="O1685" s="260"/>
      <c r="P1685" s="211"/>
      <c r="Q1685" s="261"/>
      <c r="R1685" s="208" t="str">
        <f ca="1">IF(ISERROR($V1685),"",OFFSET('Smelter Look-up'!$C$4,$V1685-4,0)&amp;"")</f>
        <v/>
      </c>
      <c r="S1685" s="215" t="str">
        <f t="shared" ca="1" si="237"/>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si="238"/>
        <v>0</v>
      </c>
      <c r="Y1685" s="263"/>
      <c r="Z1685" s="263"/>
      <c r="AB1685" s="265" t="str">
        <f t="shared" si="239"/>
        <v/>
      </c>
    </row>
    <row r="1686" spans="1:28" s="264" customFormat="1" ht="20.399999999999999">
      <c r="A1686" s="207"/>
      <c r="B1686" s="208"/>
      <c r="C1686" s="212"/>
      <c r="D1686" s="270"/>
      <c r="E1686" s="208"/>
      <c r="F1686" s="208"/>
      <c r="G1686" s="208"/>
      <c r="H1686" s="209"/>
      <c r="I1686" s="210"/>
      <c r="J1686" s="210"/>
      <c r="K1686" s="260"/>
      <c r="L1686" s="260"/>
      <c r="M1686" s="260"/>
      <c r="N1686" s="260"/>
      <c r="O1686" s="260"/>
      <c r="P1686" s="211"/>
      <c r="Q1686" s="261"/>
      <c r="R1686" s="208" t="str">
        <f ca="1">IF(ISERROR($V1686),"",OFFSET('Smelter Look-up'!$C$4,$V1686-4,0)&amp;"")</f>
        <v/>
      </c>
      <c r="S1686" s="215" t="str">
        <f t="shared" ca="1" si="237"/>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si="238"/>
        <v>0</v>
      </c>
      <c r="Y1686" s="263"/>
      <c r="Z1686" s="263"/>
      <c r="AB1686" s="265" t="str">
        <f t="shared" si="239"/>
        <v/>
      </c>
    </row>
    <row r="1687" spans="1:28" s="264" customFormat="1" ht="20.399999999999999">
      <c r="A1687" s="207"/>
      <c r="B1687" s="208"/>
      <c r="C1687" s="212"/>
      <c r="D1687" s="270"/>
      <c r="E1687" s="208"/>
      <c r="F1687" s="208"/>
      <c r="G1687" s="208"/>
      <c r="H1687" s="209"/>
      <c r="I1687" s="210"/>
      <c r="J1687" s="210"/>
      <c r="K1687" s="260"/>
      <c r="L1687" s="260"/>
      <c r="M1687" s="260"/>
      <c r="N1687" s="260"/>
      <c r="O1687" s="260"/>
      <c r="P1687" s="211"/>
      <c r="Q1687" s="261"/>
      <c r="R1687" s="208" t="str">
        <f ca="1">IF(ISERROR($V1687),"",OFFSET('Smelter Look-up'!$C$4,$V1687-4,0)&amp;"")</f>
        <v/>
      </c>
      <c r="S1687" s="215" t="str">
        <f t="shared" ca="1" si="237"/>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si="238"/>
        <v>0</v>
      </c>
      <c r="Y1687" s="263"/>
      <c r="Z1687" s="263"/>
      <c r="AB1687" s="265" t="str">
        <f t="shared" si="239"/>
        <v/>
      </c>
    </row>
    <row r="1688" spans="1:28" s="264" customFormat="1" ht="20.399999999999999">
      <c r="A1688" s="207"/>
      <c r="B1688" s="208"/>
      <c r="C1688" s="212"/>
      <c r="D1688" s="270"/>
      <c r="E1688" s="208"/>
      <c r="F1688" s="208"/>
      <c r="G1688" s="208"/>
      <c r="H1688" s="209"/>
      <c r="I1688" s="210"/>
      <c r="J1688" s="210"/>
      <c r="K1688" s="260"/>
      <c r="L1688" s="260"/>
      <c r="M1688" s="260"/>
      <c r="N1688" s="260"/>
      <c r="O1688" s="260"/>
      <c r="P1688" s="211"/>
      <c r="Q1688" s="261"/>
      <c r="R1688" s="208" t="str">
        <f ca="1">IF(ISERROR($V1688),"",OFFSET('Smelter Look-up'!$C$4,$V1688-4,0)&amp;"")</f>
        <v/>
      </c>
      <c r="S1688" s="215" t="str">
        <f t="shared" ca="1" si="237"/>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si="238"/>
        <v>0</v>
      </c>
      <c r="Y1688" s="263"/>
      <c r="Z1688" s="263"/>
      <c r="AB1688" s="265" t="str">
        <f t="shared" si="239"/>
        <v/>
      </c>
    </row>
    <row r="1689" spans="1:28" s="264" customFormat="1" ht="20.399999999999999">
      <c r="A1689" s="207"/>
      <c r="B1689" s="208"/>
      <c r="C1689" s="212"/>
      <c r="D1689" s="270"/>
      <c r="E1689" s="208"/>
      <c r="F1689" s="208"/>
      <c r="G1689" s="208"/>
      <c r="H1689" s="209"/>
      <c r="I1689" s="210"/>
      <c r="J1689" s="210"/>
      <c r="K1689" s="260"/>
      <c r="L1689" s="260"/>
      <c r="M1689" s="260"/>
      <c r="N1689" s="260"/>
      <c r="O1689" s="260"/>
      <c r="P1689" s="211"/>
      <c r="Q1689" s="261"/>
      <c r="R1689" s="208" t="str">
        <f ca="1">IF(ISERROR($V1689),"",OFFSET('Smelter Look-up'!$C$4,$V1689-4,0)&amp;"")</f>
        <v/>
      </c>
      <c r="S1689" s="215" t="str">
        <f t="shared" ca="1" si="237"/>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si="238"/>
        <v>0</v>
      </c>
      <c r="Y1689" s="263"/>
      <c r="Z1689" s="263"/>
      <c r="AB1689" s="265" t="str">
        <f t="shared" si="239"/>
        <v/>
      </c>
    </row>
    <row r="1690" spans="1:28" s="264" customFormat="1" ht="20.399999999999999">
      <c r="A1690" s="207"/>
      <c r="B1690" s="208"/>
      <c r="C1690" s="212"/>
      <c r="D1690" s="270"/>
      <c r="E1690" s="208"/>
      <c r="F1690" s="208"/>
      <c r="G1690" s="208"/>
      <c r="H1690" s="209"/>
      <c r="I1690" s="210"/>
      <c r="J1690" s="210"/>
      <c r="K1690" s="260"/>
      <c r="L1690" s="260"/>
      <c r="M1690" s="260"/>
      <c r="N1690" s="260"/>
      <c r="O1690" s="260"/>
      <c r="P1690" s="211"/>
      <c r="Q1690" s="261"/>
      <c r="R1690" s="208" t="str">
        <f ca="1">IF(ISERROR($V1690),"",OFFSET('Smelter Look-up'!$C$4,$V1690-4,0)&amp;"")</f>
        <v/>
      </c>
      <c r="S1690" s="215" t="str">
        <f t="shared" ca="1" si="237"/>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si="238"/>
        <v>0</v>
      </c>
      <c r="Y1690" s="263"/>
      <c r="Z1690" s="263"/>
      <c r="AB1690" s="265" t="str">
        <f t="shared" si="239"/>
        <v/>
      </c>
    </row>
    <row r="1691" spans="1:28" s="264" customFormat="1" ht="20.399999999999999">
      <c r="A1691" s="207"/>
      <c r="B1691" s="208"/>
      <c r="C1691" s="212"/>
      <c r="D1691" s="270"/>
      <c r="E1691" s="208"/>
      <c r="F1691" s="208"/>
      <c r="G1691" s="208"/>
      <c r="H1691" s="209"/>
      <c r="I1691" s="210"/>
      <c r="J1691" s="210"/>
      <c r="K1691" s="260"/>
      <c r="L1691" s="260"/>
      <c r="M1691" s="260"/>
      <c r="N1691" s="260"/>
      <c r="O1691" s="260"/>
      <c r="P1691" s="211"/>
      <c r="Q1691" s="261"/>
      <c r="R1691" s="208" t="str">
        <f ca="1">IF(ISERROR($V1691),"",OFFSET('Smelter Look-up'!$C$4,$V1691-4,0)&amp;"")</f>
        <v/>
      </c>
      <c r="S1691" s="215" t="str">
        <f t="shared" ca="1" si="237"/>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si="238"/>
        <v>0</v>
      </c>
      <c r="Y1691" s="263"/>
      <c r="Z1691" s="263"/>
      <c r="AB1691" s="265" t="str">
        <f t="shared" si="239"/>
        <v/>
      </c>
    </row>
    <row r="1692" spans="1:28" s="264" customFormat="1" ht="20.399999999999999">
      <c r="A1692" s="207"/>
      <c r="B1692" s="208"/>
      <c r="C1692" s="212"/>
      <c r="D1692" s="270"/>
      <c r="E1692" s="208"/>
      <c r="F1692" s="208"/>
      <c r="G1692" s="208"/>
      <c r="H1692" s="209"/>
      <c r="I1692" s="210"/>
      <c r="J1692" s="210"/>
      <c r="K1692" s="260"/>
      <c r="L1692" s="260"/>
      <c r="M1692" s="260"/>
      <c r="N1692" s="260"/>
      <c r="O1692" s="260"/>
      <c r="P1692" s="211"/>
      <c r="Q1692" s="261"/>
      <c r="R1692" s="208" t="str">
        <f ca="1">IF(ISERROR($V1692),"",OFFSET('Smelter Look-up'!$C$4,$V1692-4,0)&amp;"")</f>
        <v/>
      </c>
      <c r="S1692" s="215" t="str">
        <f t="shared" ref="S1692:S1722" ca="1" si="240">IF(B1692="","",IF(ISERROR(MATCH($E1692,CL,0)),"Unknown",INDIRECT("'C'!$A$"&amp;MATCH($E1692,CL,0)+1)))</f>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ref="X1692:X1722" si="241">IF(AND(C1692="Smelter not listed",OR(LEN(D1692)=0,LEN(E1692)=0)),1,0)</f>
        <v>0</v>
      </c>
      <c r="Y1692" s="263"/>
      <c r="Z1692" s="263"/>
      <c r="AB1692" s="265" t="str">
        <f t="shared" ref="AB1692:AB1722" si="242">B1692&amp;C1692</f>
        <v/>
      </c>
    </row>
    <row r="1693" spans="1:28" s="264" customFormat="1" ht="20.399999999999999">
      <c r="A1693" s="207"/>
      <c r="B1693" s="208"/>
      <c r="C1693" s="212"/>
      <c r="D1693" s="270"/>
      <c r="E1693" s="208"/>
      <c r="F1693" s="208"/>
      <c r="G1693" s="208"/>
      <c r="H1693" s="209"/>
      <c r="I1693" s="210"/>
      <c r="J1693" s="210"/>
      <c r="K1693" s="260"/>
      <c r="L1693" s="260"/>
      <c r="M1693" s="260"/>
      <c r="N1693" s="260"/>
      <c r="O1693" s="260"/>
      <c r="P1693" s="211"/>
      <c r="Q1693" s="261"/>
      <c r="R1693" s="208" t="str">
        <f ca="1">IF(ISERROR($V1693),"",OFFSET('Smelter Look-up'!$C$4,$V1693-4,0)&amp;"")</f>
        <v/>
      </c>
      <c r="S1693" s="215" t="str">
        <f t="shared" ca="1" si="240"/>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si="241"/>
        <v>0</v>
      </c>
      <c r="Y1693" s="263"/>
      <c r="Z1693" s="263"/>
      <c r="AB1693" s="265" t="str">
        <f t="shared" si="242"/>
        <v/>
      </c>
    </row>
    <row r="1694" spans="1:28" s="264" customFormat="1" ht="20.399999999999999">
      <c r="A1694" s="207"/>
      <c r="B1694" s="208"/>
      <c r="C1694" s="212"/>
      <c r="D1694" s="270"/>
      <c r="E1694" s="208"/>
      <c r="F1694" s="208"/>
      <c r="G1694" s="208"/>
      <c r="H1694" s="209"/>
      <c r="I1694" s="210"/>
      <c r="J1694" s="210"/>
      <c r="K1694" s="260"/>
      <c r="L1694" s="260"/>
      <c r="M1694" s="260"/>
      <c r="N1694" s="260"/>
      <c r="O1694" s="260"/>
      <c r="P1694" s="211"/>
      <c r="Q1694" s="261"/>
      <c r="R1694" s="208" t="str">
        <f ca="1">IF(ISERROR($V1694),"",OFFSET('Smelter Look-up'!$C$4,$V1694-4,0)&amp;"")</f>
        <v/>
      </c>
      <c r="S1694" s="215" t="str">
        <f t="shared" ca="1" si="240"/>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si="241"/>
        <v>0</v>
      </c>
      <c r="Y1694" s="263"/>
      <c r="Z1694" s="263"/>
      <c r="AB1694" s="265" t="str">
        <f t="shared" si="242"/>
        <v/>
      </c>
    </row>
    <row r="1695" spans="1:28" s="264" customFormat="1" ht="20.399999999999999">
      <c r="A1695" s="207"/>
      <c r="B1695" s="208"/>
      <c r="C1695" s="212"/>
      <c r="D1695" s="270"/>
      <c r="E1695" s="208"/>
      <c r="F1695" s="208"/>
      <c r="G1695" s="208"/>
      <c r="H1695" s="209"/>
      <c r="I1695" s="210"/>
      <c r="J1695" s="210"/>
      <c r="K1695" s="260"/>
      <c r="L1695" s="260"/>
      <c r="M1695" s="260"/>
      <c r="N1695" s="260"/>
      <c r="O1695" s="260"/>
      <c r="P1695" s="211"/>
      <c r="Q1695" s="261"/>
      <c r="R1695" s="208" t="str">
        <f ca="1">IF(ISERROR($V1695),"",OFFSET('Smelter Look-up'!$C$4,$V1695-4,0)&amp;"")</f>
        <v/>
      </c>
      <c r="S1695" s="215" t="str">
        <f t="shared" ca="1" si="240"/>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si="241"/>
        <v>0</v>
      </c>
      <c r="Y1695" s="263"/>
      <c r="Z1695" s="263"/>
      <c r="AB1695" s="265" t="str">
        <f t="shared" si="242"/>
        <v/>
      </c>
    </row>
    <row r="1696" spans="1:28" s="264" customFormat="1" ht="20.399999999999999">
      <c r="A1696" s="207"/>
      <c r="B1696" s="208"/>
      <c r="C1696" s="212"/>
      <c r="D1696" s="270"/>
      <c r="E1696" s="208"/>
      <c r="F1696" s="208"/>
      <c r="G1696" s="208"/>
      <c r="H1696" s="209"/>
      <c r="I1696" s="210"/>
      <c r="J1696" s="210"/>
      <c r="K1696" s="260"/>
      <c r="L1696" s="260"/>
      <c r="M1696" s="260"/>
      <c r="N1696" s="260"/>
      <c r="O1696" s="260"/>
      <c r="P1696" s="211"/>
      <c r="Q1696" s="261"/>
      <c r="R1696" s="208" t="str">
        <f ca="1">IF(ISERROR($V1696),"",OFFSET('Smelter Look-up'!$C$4,$V1696-4,0)&amp;"")</f>
        <v/>
      </c>
      <c r="S1696" s="215" t="str">
        <f t="shared" ca="1" si="240"/>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si="241"/>
        <v>0</v>
      </c>
      <c r="Y1696" s="263"/>
      <c r="Z1696" s="263"/>
      <c r="AB1696" s="265" t="str">
        <f t="shared" si="242"/>
        <v/>
      </c>
    </row>
    <row r="1697" spans="1:28" s="264" customFormat="1" ht="20.399999999999999">
      <c r="A1697" s="207"/>
      <c r="B1697" s="208"/>
      <c r="C1697" s="212"/>
      <c r="D1697" s="270"/>
      <c r="E1697" s="208"/>
      <c r="F1697" s="208"/>
      <c r="G1697" s="208"/>
      <c r="H1697" s="209"/>
      <c r="I1697" s="210"/>
      <c r="J1697" s="210"/>
      <c r="K1697" s="260"/>
      <c r="L1697" s="260"/>
      <c r="M1697" s="260"/>
      <c r="N1697" s="260"/>
      <c r="O1697" s="260"/>
      <c r="P1697" s="211"/>
      <c r="Q1697" s="261"/>
      <c r="R1697" s="208" t="str">
        <f ca="1">IF(ISERROR($V1697),"",OFFSET('Smelter Look-up'!$C$4,$V1697-4,0)&amp;"")</f>
        <v/>
      </c>
      <c r="S1697" s="215" t="str">
        <f t="shared" ca="1" si="240"/>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si="241"/>
        <v>0</v>
      </c>
      <c r="Y1697" s="263"/>
      <c r="Z1697" s="263"/>
      <c r="AB1697" s="265" t="str">
        <f t="shared" si="242"/>
        <v/>
      </c>
    </row>
    <row r="1698" spans="1:28" s="264" customFormat="1" ht="20.399999999999999">
      <c r="A1698" s="207"/>
      <c r="B1698" s="208"/>
      <c r="C1698" s="212"/>
      <c r="D1698" s="270"/>
      <c r="E1698" s="208"/>
      <c r="F1698" s="208"/>
      <c r="G1698" s="208"/>
      <c r="H1698" s="209"/>
      <c r="I1698" s="210"/>
      <c r="J1698" s="210"/>
      <c r="K1698" s="260"/>
      <c r="L1698" s="260"/>
      <c r="M1698" s="260"/>
      <c r="N1698" s="260"/>
      <c r="O1698" s="260"/>
      <c r="P1698" s="211"/>
      <c r="Q1698" s="261"/>
      <c r="R1698" s="208" t="str">
        <f ca="1">IF(ISERROR($V1698),"",OFFSET('Smelter Look-up'!$C$4,$V1698-4,0)&amp;"")</f>
        <v/>
      </c>
      <c r="S1698" s="215" t="str">
        <f t="shared" ca="1" si="240"/>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si="241"/>
        <v>0</v>
      </c>
      <c r="Y1698" s="263"/>
      <c r="Z1698" s="263"/>
      <c r="AB1698" s="265" t="str">
        <f t="shared" si="242"/>
        <v/>
      </c>
    </row>
    <row r="1699" spans="1:28" s="264" customFormat="1" ht="20.399999999999999">
      <c r="A1699" s="207"/>
      <c r="B1699" s="208"/>
      <c r="C1699" s="212"/>
      <c r="D1699" s="270"/>
      <c r="E1699" s="208"/>
      <c r="F1699" s="208"/>
      <c r="G1699" s="208"/>
      <c r="H1699" s="209"/>
      <c r="I1699" s="210"/>
      <c r="J1699" s="210"/>
      <c r="K1699" s="260"/>
      <c r="L1699" s="260"/>
      <c r="M1699" s="260"/>
      <c r="N1699" s="260"/>
      <c r="O1699" s="260"/>
      <c r="P1699" s="211"/>
      <c r="Q1699" s="261"/>
      <c r="R1699" s="208" t="str">
        <f ca="1">IF(ISERROR($V1699),"",OFFSET('Smelter Look-up'!$C$4,$V1699-4,0)&amp;"")</f>
        <v/>
      </c>
      <c r="S1699" s="215" t="str">
        <f t="shared" ca="1" si="240"/>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si="241"/>
        <v>0</v>
      </c>
      <c r="Y1699" s="263"/>
      <c r="Z1699" s="263"/>
      <c r="AB1699" s="265" t="str">
        <f t="shared" si="242"/>
        <v/>
      </c>
    </row>
    <row r="1700" spans="1:28" s="264" customFormat="1" ht="20.399999999999999">
      <c r="A1700" s="207"/>
      <c r="B1700" s="208"/>
      <c r="C1700" s="212"/>
      <c r="D1700" s="270"/>
      <c r="E1700" s="208"/>
      <c r="F1700" s="208"/>
      <c r="G1700" s="208"/>
      <c r="H1700" s="209"/>
      <c r="I1700" s="210"/>
      <c r="J1700" s="210"/>
      <c r="K1700" s="260"/>
      <c r="L1700" s="260"/>
      <c r="M1700" s="260"/>
      <c r="N1700" s="260"/>
      <c r="O1700" s="260"/>
      <c r="P1700" s="211"/>
      <c r="Q1700" s="261"/>
      <c r="R1700" s="208" t="str">
        <f ca="1">IF(ISERROR($V1700),"",OFFSET('Smelter Look-up'!$C$4,$V1700-4,0)&amp;"")</f>
        <v/>
      </c>
      <c r="S1700" s="215" t="str">
        <f t="shared" ca="1" si="240"/>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si="241"/>
        <v>0</v>
      </c>
      <c r="Y1700" s="263"/>
      <c r="Z1700" s="263"/>
      <c r="AB1700" s="265" t="str">
        <f t="shared" si="242"/>
        <v/>
      </c>
    </row>
    <row r="1701" spans="1:28" s="264" customFormat="1" ht="20.399999999999999">
      <c r="A1701" s="207"/>
      <c r="B1701" s="208"/>
      <c r="C1701" s="212"/>
      <c r="D1701" s="270"/>
      <c r="E1701" s="208"/>
      <c r="F1701" s="208"/>
      <c r="G1701" s="208"/>
      <c r="H1701" s="209"/>
      <c r="I1701" s="210"/>
      <c r="J1701" s="210"/>
      <c r="K1701" s="260"/>
      <c r="L1701" s="260"/>
      <c r="M1701" s="260"/>
      <c r="N1701" s="260"/>
      <c r="O1701" s="260"/>
      <c r="P1701" s="211"/>
      <c r="Q1701" s="261"/>
      <c r="R1701" s="208" t="str">
        <f ca="1">IF(ISERROR($V1701),"",OFFSET('Smelter Look-up'!$C$4,$V1701-4,0)&amp;"")</f>
        <v/>
      </c>
      <c r="S1701" s="215" t="str">
        <f t="shared" ca="1" si="240"/>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si="241"/>
        <v>0</v>
      </c>
      <c r="Y1701" s="263"/>
      <c r="Z1701" s="263"/>
      <c r="AB1701" s="265" t="str">
        <f t="shared" si="242"/>
        <v/>
      </c>
    </row>
    <row r="1702" spans="1:28" s="264" customFormat="1" ht="20.399999999999999">
      <c r="A1702" s="207"/>
      <c r="B1702" s="208"/>
      <c r="C1702" s="212"/>
      <c r="D1702" s="270"/>
      <c r="E1702" s="208"/>
      <c r="F1702" s="208"/>
      <c r="G1702" s="208"/>
      <c r="H1702" s="209"/>
      <c r="I1702" s="210"/>
      <c r="J1702" s="210"/>
      <c r="K1702" s="260"/>
      <c r="L1702" s="260"/>
      <c r="M1702" s="260"/>
      <c r="N1702" s="260"/>
      <c r="O1702" s="260"/>
      <c r="P1702" s="211"/>
      <c r="Q1702" s="261"/>
      <c r="R1702" s="208" t="str">
        <f ca="1">IF(ISERROR($V1702),"",OFFSET('Smelter Look-up'!$C$4,$V1702-4,0)&amp;"")</f>
        <v/>
      </c>
      <c r="S1702" s="215" t="str">
        <f t="shared" ca="1" si="240"/>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si="241"/>
        <v>0</v>
      </c>
      <c r="Y1702" s="263"/>
      <c r="Z1702" s="263"/>
      <c r="AB1702" s="265" t="str">
        <f t="shared" si="242"/>
        <v/>
      </c>
    </row>
    <row r="1703" spans="1:28" s="264" customFormat="1" ht="20.399999999999999">
      <c r="A1703" s="207"/>
      <c r="B1703" s="208"/>
      <c r="C1703" s="212"/>
      <c r="D1703" s="270"/>
      <c r="E1703" s="208"/>
      <c r="F1703" s="208"/>
      <c r="G1703" s="208"/>
      <c r="H1703" s="209"/>
      <c r="I1703" s="210"/>
      <c r="J1703" s="210"/>
      <c r="K1703" s="260"/>
      <c r="L1703" s="260"/>
      <c r="M1703" s="260"/>
      <c r="N1703" s="260"/>
      <c r="O1703" s="260"/>
      <c r="P1703" s="211"/>
      <c r="Q1703" s="261"/>
      <c r="R1703" s="208" t="str">
        <f ca="1">IF(ISERROR($V1703),"",OFFSET('Smelter Look-up'!$C$4,$V1703-4,0)&amp;"")</f>
        <v/>
      </c>
      <c r="S1703" s="215" t="str">
        <f t="shared" ca="1" si="240"/>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si="241"/>
        <v>0</v>
      </c>
      <c r="Y1703" s="263"/>
      <c r="Z1703" s="263"/>
      <c r="AB1703" s="265" t="str">
        <f t="shared" si="242"/>
        <v/>
      </c>
    </row>
    <row r="1704" spans="1:28" s="264" customFormat="1" ht="20.399999999999999">
      <c r="A1704" s="207"/>
      <c r="B1704" s="208"/>
      <c r="C1704" s="212"/>
      <c r="D1704" s="270"/>
      <c r="E1704" s="208"/>
      <c r="F1704" s="208"/>
      <c r="G1704" s="208"/>
      <c r="H1704" s="209"/>
      <c r="I1704" s="210"/>
      <c r="J1704" s="210"/>
      <c r="K1704" s="260"/>
      <c r="L1704" s="260"/>
      <c r="M1704" s="260"/>
      <c r="N1704" s="260"/>
      <c r="O1704" s="260"/>
      <c r="P1704" s="211"/>
      <c r="Q1704" s="261"/>
      <c r="R1704" s="208" t="str">
        <f ca="1">IF(ISERROR($V1704),"",OFFSET('Smelter Look-up'!$C$4,$V1704-4,0)&amp;"")</f>
        <v/>
      </c>
      <c r="S1704" s="215" t="str">
        <f t="shared" ca="1" si="240"/>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si="241"/>
        <v>0</v>
      </c>
      <c r="Y1704" s="263"/>
      <c r="Z1704" s="263"/>
      <c r="AB1704" s="265" t="str">
        <f t="shared" si="242"/>
        <v/>
      </c>
    </row>
    <row r="1705" spans="1:28" s="264" customFormat="1" ht="20.399999999999999">
      <c r="A1705" s="207"/>
      <c r="B1705" s="208"/>
      <c r="C1705" s="212"/>
      <c r="D1705" s="270"/>
      <c r="E1705" s="208"/>
      <c r="F1705" s="208"/>
      <c r="G1705" s="208"/>
      <c r="H1705" s="209"/>
      <c r="I1705" s="210"/>
      <c r="J1705" s="210"/>
      <c r="K1705" s="260"/>
      <c r="L1705" s="260"/>
      <c r="M1705" s="260"/>
      <c r="N1705" s="260"/>
      <c r="O1705" s="260"/>
      <c r="P1705" s="211"/>
      <c r="Q1705" s="261"/>
      <c r="R1705" s="208" t="str">
        <f ca="1">IF(ISERROR($V1705),"",OFFSET('Smelter Look-up'!$C$4,$V1705-4,0)&amp;"")</f>
        <v/>
      </c>
      <c r="S1705" s="215" t="str">
        <f t="shared" ca="1" si="240"/>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si="241"/>
        <v>0</v>
      </c>
      <c r="Y1705" s="263"/>
      <c r="Z1705" s="263"/>
      <c r="AB1705" s="265" t="str">
        <f t="shared" si="242"/>
        <v/>
      </c>
    </row>
    <row r="1706" spans="1:28" s="264" customFormat="1" ht="20.399999999999999">
      <c r="A1706" s="207"/>
      <c r="B1706" s="208"/>
      <c r="C1706" s="212"/>
      <c r="D1706" s="270"/>
      <c r="E1706" s="208"/>
      <c r="F1706" s="208"/>
      <c r="G1706" s="208"/>
      <c r="H1706" s="209"/>
      <c r="I1706" s="210"/>
      <c r="J1706" s="210"/>
      <c r="K1706" s="260"/>
      <c r="L1706" s="260"/>
      <c r="M1706" s="260"/>
      <c r="N1706" s="260"/>
      <c r="O1706" s="260"/>
      <c r="P1706" s="211"/>
      <c r="Q1706" s="261"/>
      <c r="R1706" s="208" t="str">
        <f ca="1">IF(ISERROR($V1706),"",OFFSET('Smelter Look-up'!$C$4,$V1706-4,0)&amp;"")</f>
        <v/>
      </c>
      <c r="S1706" s="215" t="str">
        <f t="shared" ca="1" si="240"/>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si="241"/>
        <v>0</v>
      </c>
      <c r="Y1706" s="263"/>
      <c r="Z1706" s="263"/>
      <c r="AB1706" s="265" t="str">
        <f t="shared" si="242"/>
        <v/>
      </c>
    </row>
    <row r="1707" spans="1:28" s="264" customFormat="1" ht="20.399999999999999">
      <c r="A1707" s="207"/>
      <c r="B1707" s="208"/>
      <c r="C1707" s="212"/>
      <c r="D1707" s="270"/>
      <c r="E1707" s="208"/>
      <c r="F1707" s="208"/>
      <c r="G1707" s="208"/>
      <c r="H1707" s="209"/>
      <c r="I1707" s="210"/>
      <c r="J1707" s="210"/>
      <c r="K1707" s="260"/>
      <c r="L1707" s="260"/>
      <c r="M1707" s="260"/>
      <c r="N1707" s="260"/>
      <c r="O1707" s="260"/>
      <c r="P1707" s="211"/>
      <c r="Q1707" s="261"/>
      <c r="R1707" s="208" t="str">
        <f ca="1">IF(ISERROR($V1707),"",OFFSET('Smelter Look-up'!$C$4,$V1707-4,0)&amp;"")</f>
        <v/>
      </c>
      <c r="S1707" s="215" t="str">
        <f t="shared" ca="1" si="240"/>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si="241"/>
        <v>0</v>
      </c>
      <c r="Y1707" s="263"/>
      <c r="Z1707" s="263"/>
      <c r="AB1707" s="265" t="str">
        <f t="shared" si="242"/>
        <v/>
      </c>
    </row>
    <row r="1708" spans="1:28" s="264" customFormat="1" ht="20.399999999999999">
      <c r="A1708" s="207"/>
      <c r="B1708" s="208"/>
      <c r="C1708" s="212"/>
      <c r="D1708" s="270"/>
      <c r="E1708" s="208"/>
      <c r="F1708" s="208"/>
      <c r="G1708" s="208"/>
      <c r="H1708" s="209"/>
      <c r="I1708" s="210"/>
      <c r="J1708" s="210"/>
      <c r="K1708" s="260"/>
      <c r="L1708" s="260"/>
      <c r="M1708" s="260"/>
      <c r="N1708" s="260"/>
      <c r="O1708" s="260"/>
      <c r="P1708" s="211"/>
      <c r="Q1708" s="261"/>
      <c r="R1708" s="208" t="str">
        <f ca="1">IF(ISERROR($V1708),"",OFFSET('Smelter Look-up'!$C$4,$V1708-4,0)&amp;"")</f>
        <v/>
      </c>
      <c r="S1708" s="215" t="str">
        <f t="shared" ca="1" si="240"/>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si="241"/>
        <v>0</v>
      </c>
      <c r="Y1708" s="263"/>
      <c r="Z1708" s="263"/>
      <c r="AB1708" s="265" t="str">
        <f t="shared" si="242"/>
        <v/>
      </c>
    </row>
    <row r="1709" spans="1:28" s="264" customFormat="1" ht="20.399999999999999">
      <c r="A1709" s="207"/>
      <c r="B1709" s="208"/>
      <c r="C1709" s="212"/>
      <c r="D1709" s="270"/>
      <c r="E1709" s="208"/>
      <c r="F1709" s="208"/>
      <c r="G1709" s="208"/>
      <c r="H1709" s="209"/>
      <c r="I1709" s="210"/>
      <c r="J1709" s="210"/>
      <c r="K1709" s="260"/>
      <c r="L1709" s="260"/>
      <c r="M1709" s="260"/>
      <c r="N1709" s="260"/>
      <c r="O1709" s="260"/>
      <c r="P1709" s="211"/>
      <c r="Q1709" s="261"/>
      <c r="R1709" s="208" t="str">
        <f ca="1">IF(ISERROR($V1709),"",OFFSET('Smelter Look-up'!$C$4,$V1709-4,0)&amp;"")</f>
        <v/>
      </c>
      <c r="S1709" s="215" t="str">
        <f t="shared" ca="1" si="240"/>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si="241"/>
        <v>0</v>
      </c>
      <c r="Y1709" s="263"/>
      <c r="Z1709" s="263"/>
      <c r="AB1709" s="265" t="str">
        <f t="shared" si="242"/>
        <v/>
      </c>
    </row>
    <row r="1710" spans="1:28" s="264" customFormat="1" ht="20.399999999999999">
      <c r="A1710" s="207"/>
      <c r="B1710" s="208"/>
      <c r="C1710" s="212"/>
      <c r="D1710" s="270"/>
      <c r="E1710" s="208"/>
      <c r="F1710" s="208"/>
      <c r="G1710" s="208"/>
      <c r="H1710" s="209"/>
      <c r="I1710" s="210"/>
      <c r="J1710" s="210"/>
      <c r="K1710" s="260"/>
      <c r="L1710" s="260"/>
      <c r="M1710" s="260"/>
      <c r="N1710" s="260"/>
      <c r="O1710" s="260"/>
      <c r="P1710" s="211"/>
      <c r="Q1710" s="261"/>
      <c r="R1710" s="208" t="str">
        <f ca="1">IF(ISERROR($V1710),"",OFFSET('Smelter Look-up'!$C$4,$V1710-4,0)&amp;"")</f>
        <v/>
      </c>
      <c r="S1710" s="215" t="str">
        <f t="shared" ca="1" si="240"/>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si="241"/>
        <v>0</v>
      </c>
      <c r="Y1710" s="263"/>
      <c r="Z1710" s="263"/>
      <c r="AB1710" s="265" t="str">
        <f t="shared" si="242"/>
        <v/>
      </c>
    </row>
    <row r="1711" spans="1:28" s="264" customFormat="1" ht="20.399999999999999">
      <c r="A1711" s="207"/>
      <c r="B1711" s="208"/>
      <c r="C1711" s="212"/>
      <c r="D1711" s="270"/>
      <c r="E1711" s="208"/>
      <c r="F1711" s="208"/>
      <c r="G1711" s="208"/>
      <c r="H1711" s="209"/>
      <c r="I1711" s="210"/>
      <c r="J1711" s="210"/>
      <c r="K1711" s="260"/>
      <c r="L1711" s="260"/>
      <c r="M1711" s="260"/>
      <c r="N1711" s="260"/>
      <c r="O1711" s="260"/>
      <c r="P1711" s="211"/>
      <c r="Q1711" s="261"/>
      <c r="R1711" s="208" t="str">
        <f ca="1">IF(ISERROR($V1711),"",OFFSET('Smelter Look-up'!$C$4,$V1711-4,0)&amp;"")</f>
        <v/>
      </c>
      <c r="S1711" s="215" t="str">
        <f t="shared" ca="1" si="240"/>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si="241"/>
        <v>0</v>
      </c>
      <c r="Y1711" s="263"/>
      <c r="Z1711" s="263"/>
      <c r="AB1711" s="265" t="str">
        <f t="shared" si="242"/>
        <v/>
      </c>
    </row>
    <row r="1712" spans="1:28" s="264" customFormat="1" ht="20.399999999999999">
      <c r="A1712" s="207"/>
      <c r="B1712" s="208"/>
      <c r="C1712" s="212"/>
      <c r="D1712" s="270"/>
      <c r="E1712" s="208"/>
      <c r="F1712" s="208"/>
      <c r="G1712" s="208"/>
      <c r="H1712" s="209"/>
      <c r="I1712" s="210"/>
      <c r="J1712" s="210"/>
      <c r="K1712" s="260"/>
      <c r="L1712" s="260"/>
      <c r="M1712" s="260"/>
      <c r="N1712" s="260"/>
      <c r="O1712" s="260"/>
      <c r="P1712" s="211"/>
      <c r="Q1712" s="261"/>
      <c r="R1712" s="208" t="str">
        <f ca="1">IF(ISERROR($V1712),"",OFFSET('Smelter Look-up'!$C$4,$V1712-4,0)&amp;"")</f>
        <v/>
      </c>
      <c r="S1712" s="215" t="str">
        <f t="shared" ca="1" si="240"/>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si="241"/>
        <v>0</v>
      </c>
      <c r="Y1712" s="263"/>
      <c r="Z1712" s="263"/>
      <c r="AB1712" s="265" t="str">
        <f t="shared" si="242"/>
        <v/>
      </c>
    </row>
    <row r="1713" spans="1:28" s="264" customFormat="1" ht="20.399999999999999">
      <c r="A1713" s="207"/>
      <c r="B1713" s="208"/>
      <c r="C1713" s="212"/>
      <c r="D1713" s="270"/>
      <c r="E1713" s="208"/>
      <c r="F1713" s="208"/>
      <c r="G1713" s="208"/>
      <c r="H1713" s="209"/>
      <c r="I1713" s="210"/>
      <c r="J1713" s="210"/>
      <c r="K1713" s="260"/>
      <c r="L1713" s="260"/>
      <c r="M1713" s="260"/>
      <c r="N1713" s="260"/>
      <c r="O1713" s="260"/>
      <c r="P1713" s="211"/>
      <c r="Q1713" s="261"/>
      <c r="R1713" s="208" t="str">
        <f ca="1">IF(ISERROR($V1713),"",OFFSET('Smelter Look-up'!$C$4,$V1713-4,0)&amp;"")</f>
        <v/>
      </c>
      <c r="S1713" s="215" t="str">
        <f t="shared" ca="1" si="240"/>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si="241"/>
        <v>0</v>
      </c>
      <c r="Y1713" s="263"/>
      <c r="Z1713" s="263"/>
      <c r="AB1713" s="265" t="str">
        <f t="shared" si="242"/>
        <v/>
      </c>
    </row>
    <row r="1714" spans="1:28" s="264" customFormat="1" ht="20.399999999999999">
      <c r="A1714" s="207"/>
      <c r="B1714" s="208"/>
      <c r="C1714" s="212"/>
      <c r="D1714" s="270"/>
      <c r="E1714" s="208"/>
      <c r="F1714" s="208"/>
      <c r="G1714" s="208"/>
      <c r="H1714" s="209"/>
      <c r="I1714" s="210"/>
      <c r="J1714" s="210"/>
      <c r="K1714" s="260"/>
      <c r="L1714" s="260"/>
      <c r="M1714" s="260"/>
      <c r="N1714" s="260"/>
      <c r="O1714" s="260"/>
      <c r="P1714" s="211"/>
      <c r="Q1714" s="261"/>
      <c r="R1714" s="208" t="str">
        <f ca="1">IF(ISERROR($V1714),"",OFFSET('Smelter Look-up'!$C$4,$V1714-4,0)&amp;"")</f>
        <v/>
      </c>
      <c r="S1714" s="215" t="str">
        <f t="shared" ca="1" si="240"/>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si="241"/>
        <v>0</v>
      </c>
      <c r="Y1714" s="263"/>
      <c r="Z1714" s="263"/>
      <c r="AB1714" s="265" t="str">
        <f t="shared" si="242"/>
        <v/>
      </c>
    </row>
    <row r="1715" spans="1:28" s="264" customFormat="1" ht="20.399999999999999">
      <c r="A1715" s="207"/>
      <c r="B1715" s="208"/>
      <c r="C1715" s="212"/>
      <c r="D1715" s="270"/>
      <c r="E1715" s="208"/>
      <c r="F1715" s="208"/>
      <c r="G1715" s="208"/>
      <c r="H1715" s="209"/>
      <c r="I1715" s="210"/>
      <c r="J1715" s="210"/>
      <c r="K1715" s="260"/>
      <c r="L1715" s="260"/>
      <c r="M1715" s="260"/>
      <c r="N1715" s="260"/>
      <c r="O1715" s="260"/>
      <c r="P1715" s="211"/>
      <c r="Q1715" s="261"/>
      <c r="R1715" s="208" t="str">
        <f ca="1">IF(ISERROR($V1715),"",OFFSET('Smelter Look-up'!$C$4,$V1715-4,0)&amp;"")</f>
        <v/>
      </c>
      <c r="S1715" s="215" t="str">
        <f t="shared" ca="1" si="240"/>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si="241"/>
        <v>0</v>
      </c>
      <c r="Y1715" s="263"/>
      <c r="Z1715" s="263"/>
      <c r="AB1715" s="265" t="str">
        <f t="shared" si="242"/>
        <v/>
      </c>
    </row>
    <row r="1716" spans="1:28" s="264" customFormat="1" ht="20.399999999999999">
      <c r="A1716" s="207"/>
      <c r="B1716" s="208"/>
      <c r="C1716" s="212"/>
      <c r="D1716" s="270"/>
      <c r="E1716" s="208"/>
      <c r="F1716" s="208"/>
      <c r="G1716" s="208"/>
      <c r="H1716" s="209"/>
      <c r="I1716" s="210"/>
      <c r="J1716" s="210"/>
      <c r="K1716" s="260"/>
      <c r="L1716" s="260"/>
      <c r="M1716" s="260"/>
      <c r="N1716" s="260"/>
      <c r="O1716" s="260"/>
      <c r="P1716" s="211"/>
      <c r="Q1716" s="261"/>
      <c r="R1716" s="208" t="str">
        <f ca="1">IF(ISERROR($V1716),"",OFFSET('Smelter Look-up'!$C$4,$V1716-4,0)&amp;"")</f>
        <v/>
      </c>
      <c r="S1716" s="215" t="str">
        <f t="shared" ca="1" si="240"/>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si="241"/>
        <v>0</v>
      </c>
      <c r="Y1716" s="263"/>
      <c r="Z1716" s="263"/>
      <c r="AB1716" s="265" t="str">
        <f t="shared" si="242"/>
        <v/>
      </c>
    </row>
    <row r="1717" spans="1:28" s="264" customFormat="1" ht="20.399999999999999">
      <c r="A1717" s="207"/>
      <c r="B1717" s="208"/>
      <c r="C1717" s="212"/>
      <c r="D1717" s="270"/>
      <c r="E1717" s="208"/>
      <c r="F1717" s="208"/>
      <c r="G1717" s="208"/>
      <c r="H1717" s="209"/>
      <c r="I1717" s="210"/>
      <c r="J1717" s="210"/>
      <c r="K1717" s="260"/>
      <c r="L1717" s="260"/>
      <c r="M1717" s="260"/>
      <c r="N1717" s="260"/>
      <c r="O1717" s="260"/>
      <c r="P1717" s="211"/>
      <c r="Q1717" s="261"/>
      <c r="R1717" s="208" t="str">
        <f ca="1">IF(ISERROR($V1717),"",OFFSET('Smelter Look-up'!$C$4,$V1717-4,0)&amp;"")</f>
        <v/>
      </c>
      <c r="S1717" s="215" t="str">
        <f t="shared" ca="1" si="240"/>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si="241"/>
        <v>0</v>
      </c>
      <c r="Y1717" s="263"/>
      <c r="Z1717" s="263"/>
      <c r="AB1717" s="265" t="str">
        <f t="shared" si="242"/>
        <v/>
      </c>
    </row>
    <row r="1718" spans="1:28" s="264" customFormat="1" ht="20.399999999999999">
      <c r="A1718" s="207"/>
      <c r="B1718" s="208"/>
      <c r="C1718" s="212"/>
      <c r="D1718" s="270"/>
      <c r="E1718" s="208"/>
      <c r="F1718" s="208"/>
      <c r="G1718" s="208"/>
      <c r="H1718" s="209"/>
      <c r="I1718" s="210"/>
      <c r="J1718" s="210"/>
      <c r="K1718" s="260"/>
      <c r="L1718" s="260"/>
      <c r="M1718" s="260"/>
      <c r="N1718" s="260"/>
      <c r="O1718" s="260"/>
      <c r="P1718" s="211"/>
      <c r="Q1718" s="261"/>
      <c r="R1718" s="208" t="str">
        <f ca="1">IF(ISERROR($V1718),"",OFFSET('Smelter Look-up'!$C$4,$V1718-4,0)&amp;"")</f>
        <v/>
      </c>
      <c r="S1718" s="215" t="str">
        <f t="shared" ca="1" si="240"/>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si="241"/>
        <v>0</v>
      </c>
      <c r="Y1718" s="263"/>
      <c r="Z1718" s="263"/>
      <c r="AB1718" s="265" t="str">
        <f t="shared" si="242"/>
        <v/>
      </c>
    </row>
    <row r="1719" spans="1:28" s="264" customFormat="1" ht="20.399999999999999">
      <c r="A1719" s="207"/>
      <c r="B1719" s="208"/>
      <c r="C1719" s="212"/>
      <c r="D1719" s="270"/>
      <c r="E1719" s="208"/>
      <c r="F1719" s="208"/>
      <c r="G1719" s="208"/>
      <c r="H1719" s="209"/>
      <c r="I1719" s="210"/>
      <c r="J1719" s="210"/>
      <c r="K1719" s="260"/>
      <c r="L1719" s="260"/>
      <c r="M1719" s="260"/>
      <c r="N1719" s="260"/>
      <c r="O1719" s="260"/>
      <c r="P1719" s="211"/>
      <c r="Q1719" s="261"/>
      <c r="R1719" s="208" t="str">
        <f ca="1">IF(ISERROR($V1719),"",OFFSET('Smelter Look-up'!$C$4,$V1719-4,0)&amp;"")</f>
        <v/>
      </c>
      <c r="S1719" s="215" t="str">
        <f t="shared" ca="1" si="240"/>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si="241"/>
        <v>0</v>
      </c>
      <c r="Y1719" s="263"/>
      <c r="Z1719" s="263"/>
      <c r="AB1719" s="265" t="str">
        <f t="shared" si="242"/>
        <v/>
      </c>
    </row>
    <row r="1720" spans="1:28" s="264" customFormat="1" ht="20.399999999999999">
      <c r="A1720" s="207"/>
      <c r="B1720" s="208"/>
      <c r="C1720" s="212"/>
      <c r="D1720" s="270"/>
      <c r="E1720" s="208"/>
      <c r="F1720" s="208"/>
      <c r="G1720" s="208"/>
      <c r="H1720" s="209"/>
      <c r="I1720" s="210"/>
      <c r="J1720" s="210"/>
      <c r="K1720" s="260"/>
      <c r="L1720" s="260"/>
      <c r="M1720" s="260"/>
      <c r="N1720" s="260"/>
      <c r="O1720" s="260"/>
      <c r="P1720" s="211"/>
      <c r="Q1720" s="261"/>
      <c r="R1720" s="208" t="str">
        <f ca="1">IF(ISERROR($V1720),"",OFFSET('Smelter Look-up'!$C$4,$V1720-4,0)&amp;"")</f>
        <v/>
      </c>
      <c r="S1720" s="215" t="str">
        <f t="shared" ca="1" si="240"/>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si="241"/>
        <v>0</v>
      </c>
      <c r="Y1720" s="263"/>
      <c r="Z1720" s="263"/>
      <c r="AB1720" s="265" t="str">
        <f t="shared" si="242"/>
        <v/>
      </c>
    </row>
    <row r="1721" spans="1:28" s="264" customFormat="1" ht="20.399999999999999">
      <c r="A1721" s="207"/>
      <c r="B1721" s="208"/>
      <c r="C1721" s="212"/>
      <c r="D1721" s="270"/>
      <c r="E1721" s="208"/>
      <c r="F1721" s="208"/>
      <c r="G1721" s="208"/>
      <c r="H1721" s="209"/>
      <c r="I1721" s="210"/>
      <c r="J1721" s="210"/>
      <c r="K1721" s="260"/>
      <c r="L1721" s="260"/>
      <c r="M1721" s="260"/>
      <c r="N1721" s="260"/>
      <c r="O1721" s="260"/>
      <c r="P1721" s="211"/>
      <c r="Q1721" s="261"/>
      <c r="R1721" s="208" t="str">
        <f ca="1">IF(ISERROR($V1721),"",OFFSET('Smelter Look-up'!$C$4,$V1721-4,0)&amp;"")</f>
        <v/>
      </c>
      <c r="S1721" s="215" t="str">
        <f t="shared" ca="1" si="240"/>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si="241"/>
        <v>0</v>
      </c>
      <c r="Y1721" s="263"/>
      <c r="Z1721" s="263"/>
      <c r="AB1721" s="265" t="str">
        <f t="shared" si="242"/>
        <v/>
      </c>
    </row>
    <row r="1722" spans="1:28" s="264" customFormat="1" ht="20.399999999999999">
      <c r="A1722" s="207"/>
      <c r="B1722" s="208"/>
      <c r="C1722" s="212"/>
      <c r="D1722" s="270"/>
      <c r="E1722" s="208"/>
      <c r="F1722" s="208"/>
      <c r="G1722" s="208"/>
      <c r="H1722" s="209"/>
      <c r="I1722" s="210"/>
      <c r="J1722" s="210"/>
      <c r="K1722" s="260"/>
      <c r="L1722" s="260"/>
      <c r="M1722" s="260"/>
      <c r="N1722" s="260"/>
      <c r="O1722" s="260"/>
      <c r="P1722" s="211"/>
      <c r="Q1722" s="261"/>
      <c r="R1722" s="208" t="str">
        <f ca="1">IF(ISERROR($V1722),"",OFFSET('Smelter Look-up'!$C$4,$V1722-4,0)&amp;"")</f>
        <v/>
      </c>
      <c r="S1722" s="215" t="str">
        <f t="shared" ca="1" si="240"/>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si="241"/>
        <v>0</v>
      </c>
      <c r="Y1722" s="263"/>
      <c r="Z1722" s="263"/>
      <c r="AB1722" s="265" t="str">
        <f t="shared" si="242"/>
        <v/>
      </c>
    </row>
    <row r="1723" spans="1:28" s="264" customFormat="1" ht="20.399999999999999">
      <c r="A1723" s="207"/>
      <c r="B1723" s="208"/>
      <c r="C1723" s="212"/>
      <c r="D1723" s="270"/>
      <c r="E1723" s="208"/>
      <c r="F1723" s="208"/>
      <c r="G1723" s="208"/>
      <c r="H1723" s="209"/>
      <c r="I1723" s="210"/>
      <c r="J1723" s="210"/>
      <c r="K1723" s="260"/>
      <c r="L1723" s="260"/>
      <c r="M1723" s="260"/>
      <c r="N1723" s="260"/>
      <c r="O1723" s="260"/>
      <c r="P1723" s="211"/>
      <c r="Q1723" s="261"/>
      <c r="R1723" s="208" t="str">
        <f ca="1">IF(ISERROR($V1723),"",OFFSET('Smelter Look-up'!$C$4,$V1723-4,0)&amp;"")</f>
        <v/>
      </c>
      <c r="S1723" s="215" t="str">
        <f t="shared" ref="S1723" ca="1" si="243">IF(B1723="","",IF(ISERROR(MATCH($E1723,CL,0)),"Unknown",INDIRECT("'C'!$A$"&amp;MATCH($E1723,CL,0)+1)))</f>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ref="X1723" si="244">IF(AND(C1723="Smelter not listed",OR(LEN(D1723)=0,LEN(E1723)=0)),1,0)</f>
        <v>0</v>
      </c>
      <c r="Y1723" s="263"/>
      <c r="Z1723" s="263"/>
      <c r="AB1723" s="265" t="str">
        <f t="shared" ref="AB1723" si="245">B1723&amp;C1723</f>
        <v/>
      </c>
    </row>
    <row r="1724" spans="1:28" s="264" customFormat="1" ht="20.399999999999999">
      <c r="A1724" s="207"/>
      <c r="B1724" s="208"/>
      <c r="C1724" s="212"/>
      <c r="D1724" s="270"/>
      <c r="E1724" s="208"/>
      <c r="F1724" s="208"/>
      <c r="G1724" s="208"/>
      <c r="H1724" s="209"/>
      <c r="I1724" s="210"/>
      <c r="J1724" s="210"/>
      <c r="K1724" s="260"/>
      <c r="L1724" s="260"/>
      <c r="M1724" s="260"/>
      <c r="N1724" s="260"/>
      <c r="O1724" s="260"/>
      <c r="P1724" s="211"/>
      <c r="Q1724" s="261"/>
      <c r="R1724" s="208" t="str">
        <f ca="1">IF(ISERROR($V1724),"",OFFSET('Smelter Look-up'!$C$4,$V1724-4,0)&amp;"")</f>
        <v/>
      </c>
      <c r="S1724" s="215" t="str">
        <f t="shared" ref="S1724:S1755" ca="1" si="246">IF(B1724="","",IF(ISERROR(MATCH($E1724,CL,0)),"Unknown",INDIRECT("'C'!$A$"&amp;MATCH($E1724,CL,0)+1)))</f>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ref="X1724:X1755" si="247">IF(AND(C1724="Smelter not listed",OR(LEN(D1724)=0,LEN(E1724)=0)),1,0)</f>
        <v>0</v>
      </c>
      <c r="Y1724" s="263"/>
      <c r="Z1724" s="263"/>
      <c r="AB1724" s="265" t="str">
        <f t="shared" ref="AB1724:AB1755" si="248">B1724&amp;C1724</f>
        <v/>
      </c>
    </row>
    <row r="1725" spans="1:28" s="264" customFormat="1" ht="20.399999999999999">
      <c r="A1725" s="207"/>
      <c r="B1725" s="208"/>
      <c r="C1725" s="212"/>
      <c r="D1725" s="270"/>
      <c r="E1725" s="208"/>
      <c r="F1725" s="208"/>
      <c r="G1725" s="208"/>
      <c r="H1725" s="209"/>
      <c r="I1725" s="210"/>
      <c r="J1725" s="210"/>
      <c r="K1725" s="260"/>
      <c r="L1725" s="260"/>
      <c r="M1725" s="260"/>
      <c r="N1725" s="260"/>
      <c r="O1725" s="260"/>
      <c r="P1725" s="211"/>
      <c r="Q1725" s="261"/>
      <c r="R1725" s="208" t="str">
        <f ca="1">IF(ISERROR($V1725),"",OFFSET('Smelter Look-up'!$C$4,$V1725-4,0)&amp;"")</f>
        <v/>
      </c>
      <c r="S1725" s="215" t="str">
        <f t="shared" ca="1" si="246"/>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si="247"/>
        <v>0</v>
      </c>
      <c r="Y1725" s="263"/>
      <c r="Z1725" s="263"/>
      <c r="AB1725" s="265" t="str">
        <f t="shared" si="248"/>
        <v/>
      </c>
    </row>
    <row r="1726" spans="1:28" s="264" customFormat="1" ht="20.399999999999999">
      <c r="A1726" s="207"/>
      <c r="B1726" s="208"/>
      <c r="C1726" s="212"/>
      <c r="D1726" s="270"/>
      <c r="E1726" s="208"/>
      <c r="F1726" s="208"/>
      <c r="G1726" s="208"/>
      <c r="H1726" s="209"/>
      <c r="I1726" s="210"/>
      <c r="J1726" s="210"/>
      <c r="K1726" s="260"/>
      <c r="L1726" s="260"/>
      <c r="M1726" s="260"/>
      <c r="N1726" s="260"/>
      <c r="O1726" s="260"/>
      <c r="P1726" s="211"/>
      <c r="Q1726" s="261"/>
      <c r="R1726" s="208" t="str">
        <f ca="1">IF(ISERROR($V1726),"",OFFSET('Smelter Look-up'!$C$4,$V1726-4,0)&amp;"")</f>
        <v/>
      </c>
      <c r="S1726" s="215" t="str">
        <f t="shared" ca="1" si="246"/>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si="247"/>
        <v>0</v>
      </c>
      <c r="Y1726" s="263"/>
      <c r="Z1726" s="263"/>
      <c r="AB1726" s="265" t="str">
        <f t="shared" si="248"/>
        <v/>
      </c>
    </row>
    <row r="1727" spans="1:28" s="264" customFormat="1" ht="20.399999999999999">
      <c r="A1727" s="207"/>
      <c r="B1727" s="208"/>
      <c r="C1727" s="212"/>
      <c r="D1727" s="270"/>
      <c r="E1727" s="208"/>
      <c r="F1727" s="208"/>
      <c r="G1727" s="208"/>
      <c r="H1727" s="209"/>
      <c r="I1727" s="210"/>
      <c r="J1727" s="210"/>
      <c r="K1727" s="260"/>
      <c r="L1727" s="260"/>
      <c r="M1727" s="260"/>
      <c r="N1727" s="260"/>
      <c r="O1727" s="260"/>
      <c r="P1727" s="211"/>
      <c r="Q1727" s="261"/>
      <c r="R1727" s="208" t="str">
        <f ca="1">IF(ISERROR($V1727),"",OFFSET('Smelter Look-up'!$C$4,$V1727-4,0)&amp;"")</f>
        <v/>
      </c>
      <c r="S1727" s="215" t="str">
        <f t="shared" ca="1" si="246"/>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si="247"/>
        <v>0</v>
      </c>
      <c r="Y1727" s="263"/>
      <c r="Z1727" s="263"/>
      <c r="AB1727" s="265" t="str">
        <f t="shared" si="248"/>
        <v/>
      </c>
    </row>
    <row r="1728" spans="1:28" s="264" customFormat="1" ht="20.399999999999999">
      <c r="A1728" s="207"/>
      <c r="B1728" s="208"/>
      <c r="C1728" s="212"/>
      <c r="D1728" s="270"/>
      <c r="E1728" s="208"/>
      <c r="F1728" s="208"/>
      <c r="G1728" s="208"/>
      <c r="H1728" s="209"/>
      <c r="I1728" s="210"/>
      <c r="J1728" s="210"/>
      <c r="K1728" s="260"/>
      <c r="L1728" s="260"/>
      <c r="M1728" s="260"/>
      <c r="N1728" s="260"/>
      <c r="O1728" s="260"/>
      <c r="P1728" s="211"/>
      <c r="Q1728" s="261"/>
      <c r="R1728" s="208" t="str">
        <f ca="1">IF(ISERROR($V1728),"",OFFSET('Smelter Look-up'!$C$4,$V1728-4,0)&amp;"")</f>
        <v/>
      </c>
      <c r="S1728" s="215" t="str">
        <f t="shared" ca="1" si="246"/>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si="247"/>
        <v>0</v>
      </c>
      <c r="Y1728" s="263"/>
      <c r="Z1728" s="263"/>
      <c r="AB1728" s="265" t="str">
        <f t="shared" si="248"/>
        <v/>
      </c>
    </row>
    <row r="1729" spans="1:28" s="264" customFormat="1" ht="20.399999999999999">
      <c r="A1729" s="207"/>
      <c r="B1729" s="208"/>
      <c r="C1729" s="212"/>
      <c r="D1729" s="270"/>
      <c r="E1729" s="208"/>
      <c r="F1729" s="208"/>
      <c r="G1729" s="208"/>
      <c r="H1729" s="209"/>
      <c r="I1729" s="210"/>
      <c r="J1729" s="210"/>
      <c r="K1729" s="260"/>
      <c r="L1729" s="260"/>
      <c r="M1729" s="260"/>
      <c r="N1729" s="260"/>
      <c r="O1729" s="260"/>
      <c r="P1729" s="211"/>
      <c r="Q1729" s="261"/>
      <c r="R1729" s="208" t="str">
        <f ca="1">IF(ISERROR($V1729),"",OFFSET('Smelter Look-up'!$C$4,$V1729-4,0)&amp;"")</f>
        <v/>
      </c>
      <c r="S1729" s="215" t="str">
        <f t="shared" ca="1" si="246"/>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si="247"/>
        <v>0</v>
      </c>
      <c r="Y1729" s="263"/>
      <c r="Z1729" s="263"/>
      <c r="AB1729" s="265" t="str">
        <f t="shared" si="248"/>
        <v/>
      </c>
    </row>
    <row r="1730" spans="1:28" s="264" customFormat="1" ht="20.399999999999999">
      <c r="A1730" s="207"/>
      <c r="B1730" s="208"/>
      <c r="C1730" s="212"/>
      <c r="D1730" s="270"/>
      <c r="E1730" s="208"/>
      <c r="F1730" s="208"/>
      <c r="G1730" s="208"/>
      <c r="H1730" s="209"/>
      <c r="I1730" s="210"/>
      <c r="J1730" s="210"/>
      <c r="K1730" s="260"/>
      <c r="L1730" s="260"/>
      <c r="M1730" s="260"/>
      <c r="N1730" s="260"/>
      <c r="O1730" s="260"/>
      <c r="P1730" s="211"/>
      <c r="Q1730" s="261"/>
      <c r="R1730" s="208" t="str">
        <f ca="1">IF(ISERROR($V1730),"",OFFSET('Smelter Look-up'!$C$4,$V1730-4,0)&amp;"")</f>
        <v/>
      </c>
      <c r="S1730" s="215" t="str">
        <f t="shared" ca="1" si="246"/>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si="247"/>
        <v>0</v>
      </c>
      <c r="Y1730" s="263"/>
      <c r="Z1730" s="263"/>
      <c r="AB1730" s="265" t="str">
        <f t="shared" si="248"/>
        <v/>
      </c>
    </row>
    <row r="1731" spans="1:28" s="264" customFormat="1" ht="20.399999999999999">
      <c r="A1731" s="207"/>
      <c r="B1731" s="208"/>
      <c r="C1731" s="212"/>
      <c r="D1731" s="270"/>
      <c r="E1731" s="208"/>
      <c r="F1731" s="208"/>
      <c r="G1731" s="208"/>
      <c r="H1731" s="209"/>
      <c r="I1731" s="210"/>
      <c r="J1731" s="210"/>
      <c r="K1731" s="260"/>
      <c r="L1731" s="260"/>
      <c r="M1731" s="260"/>
      <c r="N1731" s="260"/>
      <c r="O1731" s="260"/>
      <c r="P1731" s="211"/>
      <c r="Q1731" s="261"/>
      <c r="R1731" s="208" t="str">
        <f ca="1">IF(ISERROR($V1731),"",OFFSET('Smelter Look-up'!$C$4,$V1731-4,0)&amp;"")</f>
        <v/>
      </c>
      <c r="S1731" s="215" t="str">
        <f t="shared" ca="1" si="246"/>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si="247"/>
        <v>0</v>
      </c>
      <c r="Y1731" s="263"/>
      <c r="Z1731" s="263"/>
      <c r="AB1731" s="265" t="str">
        <f t="shared" si="248"/>
        <v/>
      </c>
    </row>
    <row r="1732" spans="1:28" s="264" customFormat="1" ht="20.399999999999999">
      <c r="A1732" s="207"/>
      <c r="B1732" s="208"/>
      <c r="C1732" s="212"/>
      <c r="D1732" s="270"/>
      <c r="E1732" s="208"/>
      <c r="F1732" s="208"/>
      <c r="G1732" s="208"/>
      <c r="H1732" s="209"/>
      <c r="I1732" s="210"/>
      <c r="J1732" s="210"/>
      <c r="K1732" s="260"/>
      <c r="L1732" s="260"/>
      <c r="M1732" s="260"/>
      <c r="N1732" s="260"/>
      <c r="O1732" s="260"/>
      <c r="P1732" s="211"/>
      <c r="Q1732" s="261"/>
      <c r="R1732" s="208" t="str">
        <f ca="1">IF(ISERROR($V1732),"",OFFSET('Smelter Look-up'!$C$4,$V1732-4,0)&amp;"")</f>
        <v/>
      </c>
      <c r="S1732" s="215" t="str">
        <f t="shared" ca="1" si="246"/>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si="247"/>
        <v>0</v>
      </c>
      <c r="Y1732" s="263"/>
      <c r="Z1732" s="263"/>
      <c r="AB1732" s="265" t="str">
        <f t="shared" si="248"/>
        <v/>
      </c>
    </row>
    <row r="1733" spans="1:28" s="264" customFormat="1" ht="20.399999999999999">
      <c r="A1733" s="207"/>
      <c r="B1733" s="208"/>
      <c r="C1733" s="212"/>
      <c r="D1733" s="270"/>
      <c r="E1733" s="208"/>
      <c r="F1733" s="208"/>
      <c r="G1733" s="208"/>
      <c r="H1733" s="209"/>
      <c r="I1733" s="210"/>
      <c r="J1733" s="210"/>
      <c r="K1733" s="260"/>
      <c r="L1733" s="260"/>
      <c r="M1733" s="260"/>
      <c r="N1733" s="260"/>
      <c r="O1733" s="260"/>
      <c r="P1733" s="211"/>
      <c r="Q1733" s="261"/>
      <c r="R1733" s="208" t="str">
        <f ca="1">IF(ISERROR($V1733),"",OFFSET('Smelter Look-up'!$C$4,$V1733-4,0)&amp;"")</f>
        <v/>
      </c>
      <c r="S1733" s="215" t="str">
        <f t="shared" ca="1" si="246"/>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si="247"/>
        <v>0</v>
      </c>
      <c r="Y1733" s="263"/>
      <c r="Z1733" s="263"/>
      <c r="AB1733" s="265" t="str">
        <f t="shared" si="248"/>
        <v/>
      </c>
    </row>
    <row r="1734" spans="1:28" s="264" customFormat="1" ht="20.399999999999999">
      <c r="A1734" s="207"/>
      <c r="B1734" s="208"/>
      <c r="C1734" s="212"/>
      <c r="D1734" s="270"/>
      <c r="E1734" s="208"/>
      <c r="F1734" s="208"/>
      <c r="G1734" s="208"/>
      <c r="H1734" s="209"/>
      <c r="I1734" s="210"/>
      <c r="J1734" s="210"/>
      <c r="K1734" s="260"/>
      <c r="L1734" s="260"/>
      <c r="M1734" s="260"/>
      <c r="N1734" s="260"/>
      <c r="O1734" s="260"/>
      <c r="P1734" s="211"/>
      <c r="Q1734" s="261"/>
      <c r="R1734" s="208" t="str">
        <f ca="1">IF(ISERROR($V1734),"",OFFSET('Smelter Look-up'!$C$4,$V1734-4,0)&amp;"")</f>
        <v/>
      </c>
      <c r="S1734" s="215" t="str">
        <f t="shared" ca="1" si="246"/>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si="247"/>
        <v>0</v>
      </c>
      <c r="Y1734" s="263"/>
      <c r="Z1734" s="263"/>
      <c r="AB1734" s="265" t="str">
        <f t="shared" si="248"/>
        <v/>
      </c>
    </row>
    <row r="1735" spans="1:28" s="264" customFormat="1" ht="20.399999999999999">
      <c r="A1735" s="207"/>
      <c r="B1735" s="208"/>
      <c r="C1735" s="212"/>
      <c r="D1735" s="270"/>
      <c r="E1735" s="208"/>
      <c r="F1735" s="208"/>
      <c r="G1735" s="208"/>
      <c r="H1735" s="209"/>
      <c r="I1735" s="210"/>
      <c r="J1735" s="210"/>
      <c r="K1735" s="260"/>
      <c r="L1735" s="260"/>
      <c r="M1735" s="260"/>
      <c r="N1735" s="260"/>
      <c r="O1735" s="260"/>
      <c r="P1735" s="211"/>
      <c r="Q1735" s="261"/>
      <c r="R1735" s="208" t="str">
        <f ca="1">IF(ISERROR($V1735),"",OFFSET('Smelter Look-up'!$C$4,$V1735-4,0)&amp;"")</f>
        <v/>
      </c>
      <c r="S1735" s="215" t="str">
        <f t="shared" ca="1" si="246"/>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si="247"/>
        <v>0</v>
      </c>
      <c r="Y1735" s="263"/>
      <c r="Z1735" s="263"/>
      <c r="AB1735" s="265" t="str">
        <f t="shared" si="248"/>
        <v/>
      </c>
    </row>
    <row r="1736" spans="1:28" s="264" customFormat="1" ht="20.399999999999999">
      <c r="A1736" s="207"/>
      <c r="B1736" s="208"/>
      <c r="C1736" s="212"/>
      <c r="D1736" s="270"/>
      <c r="E1736" s="208"/>
      <c r="F1736" s="208"/>
      <c r="G1736" s="208"/>
      <c r="H1736" s="209"/>
      <c r="I1736" s="210"/>
      <c r="J1736" s="210"/>
      <c r="K1736" s="260"/>
      <c r="L1736" s="260"/>
      <c r="M1736" s="260"/>
      <c r="N1736" s="260"/>
      <c r="O1736" s="260"/>
      <c r="P1736" s="211"/>
      <c r="Q1736" s="261"/>
      <c r="R1736" s="208" t="str">
        <f ca="1">IF(ISERROR($V1736),"",OFFSET('Smelter Look-up'!$C$4,$V1736-4,0)&amp;"")</f>
        <v/>
      </c>
      <c r="S1736" s="215" t="str">
        <f t="shared" ca="1" si="246"/>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si="247"/>
        <v>0</v>
      </c>
      <c r="Y1736" s="263"/>
      <c r="Z1736" s="263"/>
      <c r="AB1736" s="265" t="str">
        <f t="shared" si="248"/>
        <v/>
      </c>
    </row>
    <row r="1737" spans="1:28" s="264" customFormat="1" ht="20.399999999999999">
      <c r="A1737" s="207"/>
      <c r="B1737" s="208"/>
      <c r="C1737" s="212"/>
      <c r="D1737" s="270"/>
      <c r="E1737" s="208"/>
      <c r="F1737" s="208"/>
      <c r="G1737" s="208"/>
      <c r="H1737" s="209"/>
      <c r="I1737" s="210"/>
      <c r="J1737" s="210"/>
      <c r="K1737" s="260"/>
      <c r="L1737" s="260"/>
      <c r="M1737" s="260"/>
      <c r="N1737" s="260"/>
      <c r="O1737" s="260"/>
      <c r="P1737" s="211"/>
      <c r="Q1737" s="261"/>
      <c r="R1737" s="208" t="str">
        <f ca="1">IF(ISERROR($V1737),"",OFFSET('Smelter Look-up'!$C$4,$V1737-4,0)&amp;"")</f>
        <v/>
      </c>
      <c r="S1737" s="215" t="str">
        <f t="shared" ca="1" si="246"/>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si="247"/>
        <v>0</v>
      </c>
      <c r="Y1737" s="263"/>
      <c r="Z1737" s="263"/>
      <c r="AB1737" s="265" t="str">
        <f t="shared" si="248"/>
        <v/>
      </c>
    </row>
    <row r="1738" spans="1:28" s="264" customFormat="1" ht="20.399999999999999">
      <c r="A1738" s="207"/>
      <c r="B1738" s="208"/>
      <c r="C1738" s="212"/>
      <c r="D1738" s="270"/>
      <c r="E1738" s="208"/>
      <c r="F1738" s="208"/>
      <c r="G1738" s="208"/>
      <c r="H1738" s="209"/>
      <c r="I1738" s="210"/>
      <c r="J1738" s="210"/>
      <c r="K1738" s="260"/>
      <c r="L1738" s="260"/>
      <c r="M1738" s="260"/>
      <c r="N1738" s="260"/>
      <c r="O1738" s="260"/>
      <c r="P1738" s="211"/>
      <c r="Q1738" s="261"/>
      <c r="R1738" s="208" t="str">
        <f ca="1">IF(ISERROR($V1738),"",OFFSET('Smelter Look-up'!$C$4,$V1738-4,0)&amp;"")</f>
        <v/>
      </c>
      <c r="S1738" s="215" t="str">
        <f t="shared" ca="1" si="246"/>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si="247"/>
        <v>0</v>
      </c>
      <c r="Y1738" s="263"/>
      <c r="Z1738" s="263"/>
      <c r="AB1738" s="265" t="str">
        <f t="shared" si="248"/>
        <v/>
      </c>
    </row>
    <row r="1739" spans="1:28" s="264" customFormat="1" ht="20.399999999999999">
      <c r="A1739" s="207"/>
      <c r="B1739" s="208"/>
      <c r="C1739" s="212"/>
      <c r="D1739" s="270"/>
      <c r="E1739" s="208"/>
      <c r="F1739" s="208"/>
      <c r="G1739" s="208"/>
      <c r="H1739" s="209"/>
      <c r="I1739" s="210"/>
      <c r="J1739" s="210"/>
      <c r="K1739" s="260"/>
      <c r="L1739" s="260"/>
      <c r="M1739" s="260"/>
      <c r="N1739" s="260"/>
      <c r="O1739" s="260"/>
      <c r="P1739" s="211"/>
      <c r="Q1739" s="261"/>
      <c r="R1739" s="208" t="str">
        <f ca="1">IF(ISERROR($V1739),"",OFFSET('Smelter Look-up'!$C$4,$V1739-4,0)&amp;"")</f>
        <v/>
      </c>
      <c r="S1739" s="215" t="str">
        <f t="shared" ca="1" si="246"/>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si="247"/>
        <v>0</v>
      </c>
      <c r="Y1739" s="263"/>
      <c r="Z1739" s="263"/>
      <c r="AB1739" s="265" t="str">
        <f t="shared" si="248"/>
        <v/>
      </c>
    </row>
    <row r="1740" spans="1:28" s="264" customFormat="1" ht="20.399999999999999">
      <c r="A1740" s="207"/>
      <c r="B1740" s="208"/>
      <c r="C1740" s="212"/>
      <c r="D1740" s="270"/>
      <c r="E1740" s="208"/>
      <c r="F1740" s="208"/>
      <c r="G1740" s="208"/>
      <c r="H1740" s="209"/>
      <c r="I1740" s="210"/>
      <c r="J1740" s="210"/>
      <c r="K1740" s="260"/>
      <c r="L1740" s="260"/>
      <c r="M1740" s="260"/>
      <c r="N1740" s="260"/>
      <c r="O1740" s="260"/>
      <c r="P1740" s="211"/>
      <c r="Q1740" s="261"/>
      <c r="R1740" s="208" t="str">
        <f ca="1">IF(ISERROR($V1740),"",OFFSET('Smelter Look-up'!$C$4,$V1740-4,0)&amp;"")</f>
        <v/>
      </c>
      <c r="S1740" s="215" t="str">
        <f t="shared" ca="1" si="246"/>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si="247"/>
        <v>0</v>
      </c>
      <c r="Y1740" s="263"/>
      <c r="Z1740" s="263"/>
      <c r="AB1740" s="265" t="str">
        <f t="shared" si="248"/>
        <v/>
      </c>
    </row>
    <row r="1741" spans="1:28" s="264" customFormat="1" ht="20.399999999999999">
      <c r="A1741" s="207"/>
      <c r="B1741" s="208"/>
      <c r="C1741" s="212"/>
      <c r="D1741" s="270"/>
      <c r="E1741" s="208"/>
      <c r="F1741" s="208"/>
      <c r="G1741" s="208"/>
      <c r="H1741" s="209"/>
      <c r="I1741" s="210"/>
      <c r="J1741" s="210"/>
      <c r="K1741" s="260"/>
      <c r="L1741" s="260"/>
      <c r="M1741" s="260"/>
      <c r="N1741" s="260"/>
      <c r="O1741" s="260"/>
      <c r="P1741" s="211"/>
      <c r="Q1741" s="261"/>
      <c r="R1741" s="208" t="str">
        <f ca="1">IF(ISERROR($V1741),"",OFFSET('Smelter Look-up'!$C$4,$V1741-4,0)&amp;"")</f>
        <v/>
      </c>
      <c r="S1741" s="215" t="str">
        <f t="shared" ca="1" si="246"/>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si="247"/>
        <v>0</v>
      </c>
      <c r="Y1741" s="263"/>
      <c r="Z1741" s="263"/>
      <c r="AB1741" s="265" t="str">
        <f t="shared" si="248"/>
        <v/>
      </c>
    </row>
    <row r="1742" spans="1:28" s="264" customFormat="1" ht="20.399999999999999">
      <c r="A1742" s="207"/>
      <c r="B1742" s="208"/>
      <c r="C1742" s="212"/>
      <c r="D1742" s="270"/>
      <c r="E1742" s="208"/>
      <c r="F1742" s="208"/>
      <c r="G1742" s="208"/>
      <c r="H1742" s="209"/>
      <c r="I1742" s="210"/>
      <c r="J1742" s="210"/>
      <c r="K1742" s="260"/>
      <c r="L1742" s="260"/>
      <c r="M1742" s="260"/>
      <c r="N1742" s="260"/>
      <c r="O1742" s="260"/>
      <c r="P1742" s="211"/>
      <c r="Q1742" s="261"/>
      <c r="R1742" s="208" t="str">
        <f ca="1">IF(ISERROR($V1742),"",OFFSET('Smelter Look-up'!$C$4,$V1742-4,0)&amp;"")</f>
        <v/>
      </c>
      <c r="S1742" s="215" t="str">
        <f t="shared" ca="1" si="246"/>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si="247"/>
        <v>0</v>
      </c>
      <c r="Y1742" s="263"/>
      <c r="Z1742" s="263"/>
      <c r="AB1742" s="265" t="str">
        <f t="shared" si="248"/>
        <v/>
      </c>
    </row>
    <row r="1743" spans="1:28" s="264" customFormat="1" ht="20.399999999999999">
      <c r="A1743" s="207"/>
      <c r="B1743" s="208"/>
      <c r="C1743" s="212"/>
      <c r="D1743" s="270"/>
      <c r="E1743" s="208"/>
      <c r="F1743" s="208"/>
      <c r="G1743" s="208"/>
      <c r="H1743" s="209"/>
      <c r="I1743" s="210"/>
      <c r="J1743" s="210"/>
      <c r="K1743" s="260"/>
      <c r="L1743" s="260"/>
      <c r="M1743" s="260"/>
      <c r="N1743" s="260"/>
      <c r="O1743" s="260"/>
      <c r="P1743" s="211"/>
      <c r="Q1743" s="261"/>
      <c r="R1743" s="208" t="str">
        <f ca="1">IF(ISERROR($V1743),"",OFFSET('Smelter Look-up'!$C$4,$V1743-4,0)&amp;"")</f>
        <v/>
      </c>
      <c r="S1743" s="215" t="str">
        <f t="shared" ca="1" si="246"/>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si="247"/>
        <v>0</v>
      </c>
      <c r="Y1743" s="263"/>
      <c r="Z1743" s="263"/>
      <c r="AB1743" s="265" t="str">
        <f t="shared" si="248"/>
        <v/>
      </c>
    </row>
    <row r="1744" spans="1:28" s="264" customFormat="1" ht="20.399999999999999">
      <c r="A1744" s="207"/>
      <c r="B1744" s="208"/>
      <c r="C1744" s="212"/>
      <c r="D1744" s="270"/>
      <c r="E1744" s="208"/>
      <c r="F1744" s="208"/>
      <c r="G1744" s="208"/>
      <c r="H1744" s="209"/>
      <c r="I1744" s="210"/>
      <c r="J1744" s="210"/>
      <c r="K1744" s="260"/>
      <c r="L1744" s="260"/>
      <c r="M1744" s="260"/>
      <c r="N1744" s="260"/>
      <c r="O1744" s="260"/>
      <c r="P1744" s="211"/>
      <c r="Q1744" s="261"/>
      <c r="R1744" s="208" t="str">
        <f ca="1">IF(ISERROR($V1744),"",OFFSET('Smelter Look-up'!$C$4,$V1744-4,0)&amp;"")</f>
        <v/>
      </c>
      <c r="S1744" s="215" t="str">
        <f t="shared" ca="1" si="246"/>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si="247"/>
        <v>0</v>
      </c>
      <c r="Y1744" s="263"/>
      <c r="Z1744" s="263"/>
      <c r="AB1744" s="265" t="str">
        <f t="shared" si="248"/>
        <v/>
      </c>
    </row>
    <row r="1745" spans="1:28" s="264" customFormat="1" ht="20.399999999999999">
      <c r="A1745" s="207"/>
      <c r="B1745" s="208"/>
      <c r="C1745" s="212"/>
      <c r="D1745" s="270"/>
      <c r="E1745" s="208"/>
      <c r="F1745" s="208"/>
      <c r="G1745" s="208"/>
      <c r="H1745" s="209"/>
      <c r="I1745" s="210"/>
      <c r="J1745" s="210"/>
      <c r="K1745" s="260"/>
      <c r="L1745" s="260"/>
      <c r="M1745" s="260"/>
      <c r="N1745" s="260"/>
      <c r="O1745" s="260"/>
      <c r="P1745" s="211"/>
      <c r="Q1745" s="261"/>
      <c r="R1745" s="208" t="str">
        <f ca="1">IF(ISERROR($V1745),"",OFFSET('Smelter Look-up'!$C$4,$V1745-4,0)&amp;"")</f>
        <v/>
      </c>
      <c r="S1745" s="215" t="str">
        <f t="shared" ca="1" si="246"/>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si="247"/>
        <v>0</v>
      </c>
      <c r="Y1745" s="263"/>
      <c r="Z1745" s="263"/>
      <c r="AB1745" s="265" t="str">
        <f t="shared" si="248"/>
        <v/>
      </c>
    </row>
    <row r="1746" spans="1:28" s="264" customFormat="1" ht="20.399999999999999">
      <c r="A1746" s="207"/>
      <c r="B1746" s="208"/>
      <c r="C1746" s="212"/>
      <c r="D1746" s="270"/>
      <c r="E1746" s="208"/>
      <c r="F1746" s="208"/>
      <c r="G1746" s="208"/>
      <c r="H1746" s="209"/>
      <c r="I1746" s="210"/>
      <c r="J1746" s="210"/>
      <c r="K1746" s="260"/>
      <c r="L1746" s="260"/>
      <c r="M1746" s="260"/>
      <c r="N1746" s="260"/>
      <c r="O1746" s="260"/>
      <c r="P1746" s="211"/>
      <c r="Q1746" s="261"/>
      <c r="R1746" s="208" t="str">
        <f ca="1">IF(ISERROR($V1746),"",OFFSET('Smelter Look-up'!$C$4,$V1746-4,0)&amp;"")</f>
        <v/>
      </c>
      <c r="S1746" s="215" t="str">
        <f t="shared" ca="1" si="246"/>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si="247"/>
        <v>0</v>
      </c>
      <c r="Y1746" s="263"/>
      <c r="Z1746" s="263"/>
      <c r="AB1746" s="265" t="str">
        <f t="shared" si="248"/>
        <v/>
      </c>
    </row>
    <row r="1747" spans="1:28" s="264" customFormat="1" ht="20.399999999999999">
      <c r="A1747" s="207"/>
      <c r="B1747" s="208"/>
      <c r="C1747" s="212"/>
      <c r="D1747" s="270"/>
      <c r="E1747" s="208"/>
      <c r="F1747" s="208"/>
      <c r="G1747" s="208"/>
      <c r="H1747" s="209"/>
      <c r="I1747" s="210"/>
      <c r="J1747" s="210"/>
      <c r="K1747" s="260"/>
      <c r="L1747" s="260"/>
      <c r="M1747" s="260"/>
      <c r="N1747" s="260"/>
      <c r="O1747" s="260"/>
      <c r="P1747" s="211"/>
      <c r="Q1747" s="261"/>
      <c r="R1747" s="208" t="str">
        <f ca="1">IF(ISERROR($V1747),"",OFFSET('Smelter Look-up'!$C$4,$V1747-4,0)&amp;"")</f>
        <v/>
      </c>
      <c r="S1747" s="215" t="str">
        <f t="shared" ca="1" si="246"/>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si="247"/>
        <v>0</v>
      </c>
      <c r="Y1747" s="263"/>
      <c r="Z1747" s="263"/>
      <c r="AB1747" s="265" t="str">
        <f t="shared" si="248"/>
        <v/>
      </c>
    </row>
    <row r="1748" spans="1:28" s="264" customFormat="1" ht="20.399999999999999">
      <c r="A1748" s="207"/>
      <c r="B1748" s="208"/>
      <c r="C1748" s="212"/>
      <c r="D1748" s="270"/>
      <c r="E1748" s="208"/>
      <c r="F1748" s="208"/>
      <c r="G1748" s="208"/>
      <c r="H1748" s="209"/>
      <c r="I1748" s="210"/>
      <c r="J1748" s="210"/>
      <c r="K1748" s="260"/>
      <c r="L1748" s="260"/>
      <c r="M1748" s="260"/>
      <c r="N1748" s="260"/>
      <c r="O1748" s="260"/>
      <c r="P1748" s="211"/>
      <c r="Q1748" s="261"/>
      <c r="R1748" s="208" t="str">
        <f ca="1">IF(ISERROR($V1748),"",OFFSET('Smelter Look-up'!$C$4,$V1748-4,0)&amp;"")</f>
        <v/>
      </c>
      <c r="S1748" s="215" t="str">
        <f t="shared" ca="1" si="246"/>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si="247"/>
        <v>0</v>
      </c>
      <c r="Y1748" s="263"/>
      <c r="Z1748" s="263"/>
      <c r="AB1748" s="265" t="str">
        <f t="shared" si="248"/>
        <v/>
      </c>
    </row>
    <row r="1749" spans="1:28" s="264" customFormat="1" ht="20.399999999999999">
      <c r="A1749" s="207"/>
      <c r="B1749" s="208"/>
      <c r="C1749" s="212"/>
      <c r="D1749" s="270"/>
      <c r="E1749" s="208"/>
      <c r="F1749" s="208"/>
      <c r="G1749" s="208"/>
      <c r="H1749" s="209"/>
      <c r="I1749" s="210"/>
      <c r="J1749" s="210"/>
      <c r="K1749" s="260"/>
      <c r="L1749" s="260"/>
      <c r="M1749" s="260"/>
      <c r="N1749" s="260"/>
      <c r="O1749" s="260"/>
      <c r="P1749" s="211"/>
      <c r="Q1749" s="261"/>
      <c r="R1749" s="208" t="str">
        <f ca="1">IF(ISERROR($V1749),"",OFFSET('Smelter Look-up'!$C$4,$V1749-4,0)&amp;"")</f>
        <v/>
      </c>
      <c r="S1749" s="215" t="str">
        <f t="shared" ca="1" si="246"/>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si="247"/>
        <v>0</v>
      </c>
      <c r="Y1749" s="263"/>
      <c r="Z1749" s="263"/>
      <c r="AB1749" s="265" t="str">
        <f t="shared" si="248"/>
        <v/>
      </c>
    </row>
    <row r="1750" spans="1:28" s="264" customFormat="1" ht="20.399999999999999">
      <c r="A1750" s="207"/>
      <c r="B1750" s="208"/>
      <c r="C1750" s="212"/>
      <c r="D1750" s="270"/>
      <c r="E1750" s="208"/>
      <c r="F1750" s="208"/>
      <c r="G1750" s="208"/>
      <c r="H1750" s="209"/>
      <c r="I1750" s="210"/>
      <c r="J1750" s="210"/>
      <c r="K1750" s="260"/>
      <c r="L1750" s="260"/>
      <c r="M1750" s="260"/>
      <c r="N1750" s="260"/>
      <c r="O1750" s="260"/>
      <c r="P1750" s="211"/>
      <c r="Q1750" s="261"/>
      <c r="R1750" s="208" t="str">
        <f ca="1">IF(ISERROR($V1750),"",OFFSET('Smelter Look-up'!$C$4,$V1750-4,0)&amp;"")</f>
        <v/>
      </c>
      <c r="S1750" s="215" t="str">
        <f t="shared" ca="1" si="246"/>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si="247"/>
        <v>0</v>
      </c>
      <c r="Y1750" s="263"/>
      <c r="Z1750" s="263"/>
      <c r="AB1750" s="265" t="str">
        <f t="shared" si="248"/>
        <v/>
      </c>
    </row>
    <row r="1751" spans="1:28" s="264" customFormat="1" ht="20.399999999999999">
      <c r="A1751" s="207"/>
      <c r="B1751" s="208"/>
      <c r="C1751" s="212"/>
      <c r="D1751" s="270"/>
      <c r="E1751" s="208"/>
      <c r="F1751" s="208"/>
      <c r="G1751" s="208"/>
      <c r="H1751" s="209"/>
      <c r="I1751" s="210"/>
      <c r="J1751" s="210"/>
      <c r="K1751" s="260"/>
      <c r="L1751" s="260"/>
      <c r="M1751" s="260"/>
      <c r="N1751" s="260"/>
      <c r="O1751" s="260"/>
      <c r="P1751" s="211"/>
      <c r="Q1751" s="261"/>
      <c r="R1751" s="208" t="str">
        <f ca="1">IF(ISERROR($V1751),"",OFFSET('Smelter Look-up'!$C$4,$V1751-4,0)&amp;"")</f>
        <v/>
      </c>
      <c r="S1751" s="215" t="str">
        <f t="shared" ca="1" si="246"/>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si="247"/>
        <v>0</v>
      </c>
      <c r="Y1751" s="263"/>
      <c r="Z1751" s="263"/>
      <c r="AB1751" s="265" t="str">
        <f t="shared" si="248"/>
        <v/>
      </c>
    </row>
    <row r="1752" spans="1:28" s="264" customFormat="1" ht="20.399999999999999">
      <c r="A1752" s="207"/>
      <c r="B1752" s="208"/>
      <c r="C1752" s="212"/>
      <c r="D1752" s="270"/>
      <c r="E1752" s="208"/>
      <c r="F1752" s="208"/>
      <c r="G1752" s="208"/>
      <c r="H1752" s="209"/>
      <c r="I1752" s="210"/>
      <c r="J1752" s="210"/>
      <c r="K1752" s="260"/>
      <c r="L1752" s="260"/>
      <c r="M1752" s="260"/>
      <c r="N1752" s="260"/>
      <c r="O1752" s="260"/>
      <c r="P1752" s="211"/>
      <c r="Q1752" s="261"/>
      <c r="R1752" s="208" t="str">
        <f ca="1">IF(ISERROR($V1752),"",OFFSET('Smelter Look-up'!$C$4,$V1752-4,0)&amp;"")</f>
        <v/>
      </c>
      <c r="S1752" s="215" t="str">
        <f t="shared" ca="1" si="246"/>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si="247"/>
        <v>0</v>
      </c>
      <c r="Y1752" s="263"/>
      <c r="Z1752" s="263"/>
      <c r="AB1752" s="265" t="str">
        <f t="shared" si="248"/>
        <v/>
      </c>
    </row>
    <row r="1753" spans="1:28" s="264" customFormat="1" ht="20.399999999999999">
      <c r="A1753" s="207"/>
      <c r="B1753" s="208"/>
      <c r="C1753" s="212"/>
      <c r="D1753" s="270"/>
      <c r="E1753" s="208"/>
      <c r="F1753" s="208"/>
      <c r="G1753" s="208"/>
      <c r="H1753" s="209"/>
      <c r="I1753" s="210"/>
      <c r="J1753" s="210"/>
      <c r="K1753" s="260"/>
      <c r="L1753" s="260"/>
      <c r="M1753" s="260"/>
      <c r="N1753" s="260"/>
      <c r="O1753" s="260"/>
      <c r="P1753" s="211"/>
      <c r="Q1753" s="261"/>
      <c r="R1753" s="208" t="str">
        <f ca="1">IF(ISERROR($V1753),"",OFFSET('Smelter Look-up'!$C$4,$V1753-4,0)&amp;"")</f>
        <v/>
      </c>
      <c r="S1753" s="215" t="str">
        <f t="shared" ca="1" si="246"/>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si="247"/>
        <v>0</v>
      </c>
      <c r="Y1753" s="263"/>
      <c r="Z1753" s="263"/>
      <c r="AB1753" s="265" t="str">
        <f t="shared" si="248"/>
        <v/>
      </c>
    </row>
    <row r="1754" spans="1:28" s="264" customFormat="1" ht="20.399999999999999">
      <c r="A1754" s="207"/>
      <c r="B1754" s="208"/>
      <c r="C1754" s="212"/>
      <c r="D1754" s="270"/>
      <c r="E1754" s="208"/>
      <c r="F1754" s="208"/>
      <c r="G1754" s="208"/>
      <c r="H1754" s="209"/>
      <c r="I1754" s="210"/>
      <c r="J1754" s="210"/>
      <c r="K1754" s="260"/>
      <c r="L1754" s="260"/>
      <c r="M1754" s="260"/>
      <c r="N1754" s="260"/>
      <c r="O1754" s="260"/>
      <c r="P1754" s="211"/>
      <c r="Q1754" s="261"/>
      <c r="R1754" s="208" t="str">
        <f ca="1">IF(ISERROR($V1754),"",OFFSET('Smelter Look-up'!$C$4,$V1754-4,0)&amp;"")</f>
        <v/>
      </c>
      <c r="S1754" s="215" t="str">
        <f t="shared" ca="1" si="246"/>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si="247"/>
        <v>0</v>
      </c>
      <c r="Y1754" s="263"/>
      <c r="Z1754" s="263"/>
      <c r="AB1754" s="265" t="str">
        <f t="shared" si="248"/>
        <v/>
      </c>
    </row>
    <row r="1755" spans="1:28" s="264" customFormat="1" ht="20.399999999999999">
      <c r="A1755" s="207"/>
      <c r="B1755" s="208"/>
      <c r="C1755" s="212"/>
      <c r="D1755" s="270"/>
      <c r="E1755" s="208"/>
      <c r="F1755" s="208"/>
      <c r="G1755" s="208"/>
      <c r="H1755" s="209"/>
      <c r="I1755" s="210"/>
      <c r="J1755" s="210"/>
      <c r="K1755" s="260"/>
      <c r="L1755" s="260"/>
      <c r="M1755" s="260"/>
      <c r="N1755" s="260"/>
      <c r="O1755" s="260"/>
      <c r="P1755" s="211"/>
      <c r="Q1755" s="261"/>
      <c r="R1755" s="208" t="str">
        <f ca="1">IF(ISERROR($V1755),"",OFFSET('Smelter Look-up'!$C$4,$V1755-4,0)&amp;"")</f>
        <v/>
      </c>
      <c r="S1755" s="215" t="str">
        <f t="shared" ca="1" si="246"/>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si="247"/>
        <v>0</v>
      </c>
      <c r="Y1755" s="263"/>
      <c r="Z1755" s="263"/>
      <c r="AB1755" s="265" t="str">
        <f t="shared" si="248"/>
        <v/>
      </c>
    </row>
    <row r="1756" spans="1:28" s="264" customFormat="1" ht="20.399999999999999">
      <c r="A1756" s="207"/>
      <c r="B1756" s="208"/>
      <c r="C1756" s="212"/>
      <c r="D1756" s="270"/>
      <c r="E1756" s="208"/>
      <c r="F1756" s="208"/>
      <c r="G1756" s="208"/>
      <c r="H1756" s="209"/>
      <c r="I1756" s="210"/>
      <c r="J1756" s="210"/>
      <c r="K1756" s="260"/>
      <c r="L1756" s="260"/>
      <c r="M1756" s="260"/>
      <c r="N1756" s="260"/>
      <c r="O1756" s="260"/>
      <c r="P1756" s="211"/>
      <c r="Q1756" s="261"/>
      <c r="R1756" s="208" t="str">
        <f ca="1">IF(ISERROR($V1756),"",OFFSET('Smelter Look-up'!$C$4,$V1756-4,0)&amp;"")</f>
        <v/>
      </c>
      <c r="S1756" s="215" t="str">
        <f t="shared" ref="S1756:S1786" ca="1" si="249">IF(B1756="","",IF(ISERROR(MATCH($E1756,CL,0)),"Unknown",INDIRECT("'C'!$A$"&amp;MATCH($E1756,CL,0)+1)))</f>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ref="X1756:X1786" si="250">IF(AND(C1756="Smelter not listed",OR(LEN(D1756)=0,LEN(E1756)=0)),1,0)</f>
        <v>0</v>
      </c>
      <c r="Y1756" s="263"/>
      <c r="Z1756" s="263"/>
      <c r="AB1756" s="265" t="str">
        <f t="shared" ref="AB1756:AB1786" si="251">B1756&amp;C1756</f>
        <v/>
      </c>
    </row>
    <row r="1757" spans="1:28" s="264" customFormat="1" ht="20.399999999999999">
      <c r="A1757" s="207"/>
      <c r="B1757" s="208"/>
      <c r="C1757" s="212"/>
      <c r="D1757" s="270"/>
      <c r="E1757" s="208"/>
      <c r="F1757" s="208"/>
      <c r="G1757" s="208"/>
      <c r="H1757" s="209"/>
      <c r="I1757" s="210"/>
      <c r="J1757" s="210"/>
      <c r="K1757" s="260"/>
      <c r="L1757" s="260"/>
      <c r="M1757" s="260"/>
      <c r="N1757" s="260"/>
      <c r="O1757" s="260"/>
      <c r="P1757" s="211"/>
      <c r="Q1757" s="261"/>
      <c r="R1757" s="208" t="str">
        <f ca="1">IF(ISERROR($V1757),"",OFFSET('Smelter Look-up'!$C$4,$V1757-4,0)&amp;"")</f>
        <v/>
      </c>
      <c r="S1757" s="215" t="str">
        <f t="shared" ca="1" si="249"/>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si="250"/>
        <v>0</v>
      </c>
      <c r="Y1757" s="263"/>
      <c r="Z1757" s="263"/>
      <c r="AB1757" s="265" t="str">
        <f t="shared" si="251"/>
        <v/>
      </c>
    </row>
    <row r="1758" spans="1:28" s="264" customFormat="1" ht="20.399999999999999">
      <c r="A1758" s="207"/>
      <c r="B1758" s="208"/>
      <c r="C1758" s="212"/>
      <c r="D1758" s="270"/>
      <c r="E1758" s="208"/>
      <c r="F1758" s="208"/>
      <c r="G1758" s="208"/>
      <c r="H1758" s="209"/>
      <c r="I1758" s="210"/>
      <c r="J1758" s="210"/>
      <c r="K1758" s="260"/>
      <c r="L1758" s="260"/>
      <c r="M1758" s="260"/>
      <c r="N1758" s="260"/>
      <c r="O1758" s="260"/>
      <c r="P1758" s="211"/>
      <c r="Q1758" s="261"/>
      <c r="R1758" s="208" t="str">
        <f ca="1">IF(ISERROR($V1758),"",OFFSET('Smelter Look-up'!$C$4,$V1758-4,0)&amp;"")</f>
        <v/>
      </c>
      <c r="S1758" s="215" t="str">
        <f t="shared" ca="1" si="249"/>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si="250"/>
        <v>0</v>
      </c>
      <c r="Y1758" s="263"/>
      <c r="Z1758" s="263"/>
      <c r="AB1758" s="265" t="str">
        <f t="shared" si="251"/>
        <v/>
      </c>
    </row>
    <row r="1759" spans="1:28" s="264" customFormat="1" ht="20.399999999999999">
      <c r="A1759" s="207"/>
      <c r="B1759" s="208"/>
      <c r="C1759" s="212"/>
      <c r="D1759" s="270"/>
      <c r="E1759" s="208"/>
      <c r="F1759" s="208"/>
      <c r="G1759" s="208"/>
      <c r="H1759" s="209"/>
      <c r="I1759" s="210"/>
      <c r="J1759" s="210"/>
      <c r="K1759" s="260"/>
      <c r="L1759" s="260"/>
      <c r="M1759" s="260"/>
      <c r="N1759" s="260"/>
      <c r="O1759" s="260"/>
      <c r="P1759" s="211"/>
      <c r="Q1759" s="261"/>
      <c r="R1759" s="208" t="str">
        <f ca="1">IF(ISERROR($V1759),"",OFFSET('Smelter Look-up'!$C$4,$V1759-4,0)&amp;"")</f>
        <v/>
      </c>
      <c r="S1759" s="215" t="str">
        <f t="shared" ca="1" si="249"/>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si="250"/>
        <v>0</v>
      </c>
      <c r="Y1759" s="263"/>
      <c r="Z1759" s="263"/>
      <c r="AB1759" s="265" t="str">
        <f t="shared" si="251"/>
        <v/>
      </c>
    </row>
    <row r="1760" spans="1:28" s="264" customFormat="1" ht="20.399999999999999">
      <c r="A1760" s="207"/>
      <c r="B1760" s="208"/>
      <c r="C1760" s="212"/>
      <c r="D1760" s="270"/>
      <c r="E1760" s="208"/>
      <c r="F1760" s="208"/>
      <c r="G1760" s="208"/>
      <c r="H1760" s="209"/>
      <c r="I1760" s="210"/>
      <c r="J1760" s="210"/>
      <c r="K1760" s="260"/>
      <c r="L1760" s="260"/>
      <c r="M1760" s="260"/>
      <c r="N1760" s="260"/>
      <c r="O1760" s="260"/>
      <c r="P1760" s="211"/>
      <c r="Q1760" s="261"/>
      <c r="R1760" s="208" t="str">
        <f ca="1">IF(ISERROR($V1760),"",OFFSET('Smelter Look-up'!$C$4,$V1760-4,0)&amp;"")</f>
        <v/>
      </c>
      <c r="S1760" s="215" t="str">
        <f t="shared" ca="1" si="249"/>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si="250"/>
        <v>0</v>
      </c>
      <c r="Y1760" s="263"/>
      <c r="Z1760" s="263"/>
      <c r="AB1760" s="265" t="str">
        <f t="shared" si="251"/>
        <v/>
      </c>
    </row>
    <row r="1761" spans="1:28" s="264" customFormat="1" ht="20.399999999999999">
      <c r="A1761" s="207"/>
      <c r="B1761" s="208"/>
      <c r="C1761" s="212"/>
      <c r="D1761" s="270"/>
      <c r="E1761" s="208"/>
      <c r="F1761" s="208"/>
      <c r="G1761" s="208"/>
      <c r="H1761" s="209"/>
      <c r="I1761" s="210"/>
      <c r="J1761" s="210"/>
      <c r="K1761" s="260"/>
      <c r="L1761" s="260"/>
      <c r="M1761" s="260"/>
      <c r="N1761" s="260"/>
      <c r="O1761" s="260"/>
      <c r="P1761" s="211"/>
      <c r="Q1761" s="261"/>
      <c r="R1761" s="208" t="str">
        <f ca="1">IF(ISERROR($V1761),"",OFFSET('Smelter Look-up'!$C$4,$V1761-4,0)&amp;"")</f>
        <v/>
      </c>
      <c r="S1761" s="215" t="str">
        <f t="shared" ca="1" si="249"/>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si="250"/>
        <v>0</v>
      </c>
      <c r="Y1761" s="263"/>
      <c r="Z1761" s="263"/>
      <c r="AB1761" s="265" t="str">
        <f t="shared" si="251"/>
        <v/>
      </c>
    </row>
    <row r="1762" spans="1:28" s="264" customFormat="1" ht="20.399999999999999">
      <c r="A1762" s="207"/>
      <c r="B1762" s="208"/>
      <c r="C1762" s="212"/>
      <c r="D1762" s="270"/>
      <c r="E1762" s="208"/>
      <c r="F1762" s="208"/>
      <c r="G1762" s="208"/>
      <c r="H1762" s="209"/>
      <c r="I1762" s="210"/>
      <c r="J1762" s="210"/>
      <c r="K1762" s="260"/>
      <c r="L1762" s="260"/>
      <c r="M1762" s="260"/>
      <c r="N1762" s="260"/>
      <c r="O1762" s="260"/>
      <c r="P1762" s="211"/>
      <c r="Q1762" s="261"/>
      <c r="R1762" s="208" t="str">
        <f ca="1">IF(ISERROR($V1762),"",OFFSET('Smelter Look-up'!$C$4,$V1762-4,0)&amp;"")</f>
        <v/>
      </c>
      <c r="S1762" s="215" t="str">
        <f t="shared" ca="1" si="249"/>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si="250"/>
        <v>0</v>
      </c>
      <c r="Y1762" s="263"/>
      <c r="Z1762" s="263"/>
      <c r="AB1762" s="265" t="str">
        <f t="shared" si="251"/>
        <v/>
      </c>
    </row>
    <row r="1763" spans="1:28" s="264" customFormat="1" ht="20.399999999999999">
      <c r="A1763" s="207"/>
      <c r="B1763" s="208"/>
      <c r="C1763" s="212"/>
      <c r="D1763" s="270"/>
      <c r="E1763" s="208"/>
      <c r="F1763" s="208"/>
      <c r="G1763" s="208"/>
      <c r="H1763" s="209"/>
      <c r="I1763" s="210"/>
      <c r="J1763" s="210"/>
      <c r="K1763" s="260"/>
      <c r="L1763" s="260"/>
      <c r="M1763" s="260"/>
      <c r="N1763" s="260"/>
      <c r="O1763" s="260"/>
      <c r="P1763" s="211"/>
      <c r="Q1763" s="261"/>
      <c r="R1763" s="208" t="str">
        <f ca="1">IF(ISERROR($V1763),"",OFFSET('Smelter Look-up'!$C$4,$V1763-4,0)&amp;"")</f>
        <v/>
      </c>
      <c r="S1763" s="215" t="str">
        <f t="shared" ca="1" si="249"/>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si="250"/>
        <v>0</v>
      </c>
      <c r="Y1763" s="263"/>
      <c r="Z1763" s="263"/>
      <c r="AB1763" s="265" t="str">
        <f t="shared" si="251"/>
        <v/>
      </c>
    </row>
    <row r="1764" spans="1:28" s="264" customFormat="1" ht="20.399999999999999">
      <c r="A1764" s="207"/>
      <c r="B1764" s="208"/>
      <c r="C1764" s="212"/>
      <c r="D1764" s="270"/>
      <c r="E1764" s="208"/>
      <c r="F1764" s="208"/>
      <c r="G1764" s="208"/>
      <c r="H1764" s="209"/>
      <c r="I1764" s="210"/>
      <c r="J1764" s="210"/>
      <c r="K1764" s="260"/>
      <c r="L1764" s="260"/>
      <c r="M1764" s="260"/>
      <c r="N1764" s="260"/>
      <c r="O1764" s="260"/>
      <c r="P1764" s="211"/>
      <c r="Q1764" s="261"/>
      <c r="R1764" s="208" t="str">
        <f ca="1">IF(ISERROR($V1764),"",OFFSET('Smelter Look-up'!$C$4,$V1764-4,0)&amp;"")</f>
        <v/>
      </c>
      <c r="S1764" s="215" t="str">
        <f t="shared" ca="1" si="249"/>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si="250"/>
        <v>0</v>
      </c>
      <c r="Y1764" s="263"/>
      <c r="Z1764" s="263"/>
      <c r="AB1764" s="265" t="str">
        <f t="shared" si="251"/>
        <v/>
      </c>
    </row>
    <row r="1765" spans="1:28" s="264" customFormat="1" ht="20.399999999999999">
      <c r="A1765" s="207"/>
      <c r="B1765" s="208"/>
      <c r="C1765" s="212"/>
      <c r="D1765" s="270"/>
      <c r="E1765" s="208"/>
      <c r="F1765" s="208"/>
      <c r="G1765" s="208"/>
      <c r="H1765" s="209"/>
      <c r="I1765" s="210"/>
      <c r="J1765" s="210"/>
      <c r="K1765" s="260"/>
      <c r="L1765" s="260"/>
      <c r="M1765" s="260"/>
      <c r="N1765" s="260"/>
      <c r="O1765" s="260"/>
      <c r="P1765" s="211"/>
      <c r="Q1765" s="261"/>
      <c r="R1765" s="208" t="str">
        <f ca="1">IF(ISERROR($V1765),"",OFFSET('Smelter Look-up'!$C$4,$V1765-4,0)&amp;"")</f>
        <v/>
      </c>
      <c r="S1765" s="215" t="str">
        <f t="shared" ca="1" si="249"/>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si="250"/>
        <v>0</v>
      </c>
      <c r="Y1765" s="263"/>
      <c r="Z1765" s="263"/>
      <c r="AB1765" s="265" t="str">
        <f t="shared" si="251"/>
        <v/>
      </c>
    </row>
    <row r="1766" spans="1:28" s="264" customFormat="1" ht="20.399999999999999">
      <c r="A1766" s="207"/>
      <c r="B1766" s="208"/>
      <c r="C1766" s="212"/>
      <c r="D1766" s="270"/>
      <c r="E1766" s="208"/>
      <c r="F1766" s="208"/>
      <c r="G1766" s="208"/>
      <c r="H1766" s="209"/>
      <c r="I1766" s="210"/>
      <c r="J1766" s="210"/>
      <c r="K1766" s="260"/>
      <c r="L1766" s="260"/>
      <c r="M1766" s="260"/>
      <c r="N1766" s="260"/>
      <c r="O1766" s="260"/>
      <c r="P1766" s="211"/>
      <c r="Q1766" s="261"/>
      <c r="R1766" s="208" t="str">
        <f ca="1">IF(ISERROR($V1766),"",OFFSET('Smelter Look-up'!$C$4,$V1766-4,0)&amp;"")</f>
        <v/>
      </c>
      <c r="S1766" s="215" t="str">
        <f t="shared" ca="1" si="249"/>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si="250"/>
        <v>0</v>
      </c>
      <c r="Y1766" s="263"/>
      <c r="Z1766" s="263"/>
      <c r="AB1766" s="265" t="str">
        <f t="shared" si="251"/>
        <v/>
      </c>
    </row>
    <row r="1767" spans="1:28" s="264" customFormat="1" ht="20.399999999999999">
      <c r="A1767" s="207"/>
      <c r="B1767" s="208"/>
      <c r="C1767" s="212"/>
      <c r="D1767" s="270"/>
      <c r="E1767" s="208"/>
      <c r="F1767" s="208"/>
      <c r="G1767" s="208"/>
      <c r="H1767" s="209"/>
      <c r="I1767" s="210"/>
      <c r="J1767" s="210"/>
      <c r="K1767" s="260"/>
      <c r="L1767" s="260"/>
      <c r="M1767" s="260"/>
      <c r="N1767" s="260"/>
      <c r="O1767" s="260"/>
      <c r="P1767" s="211"/>
      <c r="Q1767" s="261"/>
      <c r="R1767" s="208" t="str">
        <f ca="1">IF(ISERROR($V1767),"",OFFSET('Smelter Look-up'!$C$4,$V1767-4,0)&amp;"")</f>
        <v/>
      </c>
      <c r="S1767" s="215" t="str">
        <f t="shared" ca="1" si="249"/>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si="250"/>
        <v>0</v>
      </c>
      <c r="Y1767" s="263"/>
      <c r="Z1767" s="263"/>
      <c r="AB1767" s="265" t="str">
        <f t="shared" si="251"/>
        <v/>
      </c>
    </row>
    <row r="1768" spans="1:28" s="264" customFormat="1" ht="20.399999999999999">
      <c r="A1768" s="207"/>
      <c r="B1768" s="208"/>
      <c r="C1768" s="212"/>
      <c r="D1768" s="270"/>
      <c r="E1768" s="208"/>
      <c r="F1768" s="208"/>
      <c r="G1768" s="208"/>
      <c r="H1768" s="209"/>
      <c r="I1768" s="210"/>
      <c r="J1768" s="210"/>
      <c r="K1768" s="260"/>
      <c r="L1768" s="260"/>
      <c r="M1768" s="260"/>
      <c r="N1768" s="260"/>
      <c r="O1768" s="260"/>
      <c r="P1768" s="211"/>
      <c r="Q1768" s="261"/>
      <c r="R1768" s="208" t="str">
        <f ca="1">IF(ISERROR($V1768),"",OFFSET('Smelter Look-up'!$C$4,$V1768-4,0)&amp;"")</f>
        <v/>
      </c>
      <c r="S1768" s="215" t="str">
        <f t="shared" ca="1" si="249"/>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si="250"/>
        <v>0</v>
      </c>
      <c r="Y1768" s="263"/>
      <c r="Z1768" s="263"/>
      <c r="AB1768" s="265" t="str">
        <f t="shared" si="251"/>
        <v/>
      </c>
    </row>
    <row r="1769" spans="1:28" s="264" customFormat="1" ht="20.399999999999999">
      <c r="A1769" s="207"/>
      <c r="B1769" s="208"/>
      <c r="C1769" s="212"/>
      <c r="D1769" s="270"/>
      <c r="E1769" s="208"/>
      <c r="F1769" s="208"/>
      <c r="G1769" s="208"/>
      <c r="H1769" s="209"/>
      <c r="I1769" s="210"/>
      <c r="J1769" s="210"/>
      <c r="K1769" s="260"/>
      <c r="L1769" s="260"/>
      <c r="M1769" s="260"/>
      <c r="N1769" s="260"/>
      <c r="O1769" s="260"/>
      <c r="P1769" s="211"/>
      <c r="Q1769" s="261"/>
      <c r="R1769" s="208" t="str">
        <f ca="1">IF(ISERROR($V1769),"",OFFSET('Smelter Look-up'!$C$4,$V1769-4,0)&amp;"")</f>
        <v/>
      </c>
      <c r="S1769" s="215" t="str">
        <f t="shared" ca="1" si="249"/>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si="250"/>
        <v>0</v>
      </c>
      <c r="Y1769" s="263"/>
      <c r="Z1769" s="263"/>
      <c r="AB1769" s="265" t="str">
        <f t="shared" si="251"/>
        <v/>
      </c>
    </row>
    <row r="1770" spans="1:28" s="264" customFormat="1" ht="20.399999999999999">
      <c r="A1770" s="207"/>
      <c r="B1770" s="208"/>
      <c r="C1770" s="212"/>
      <c r="D1770" s="270"/>
      <c r="E1770" s="208"/>
      <c r="F1770" s="208"/>
      <c r="G1770" s="208"/>
      <c r="H1770" s="209"/>
      <c r="I1770" s="210"/>
      <c r="J1770" s="210"/>
      <c r="K1770" s="260"/>
      <c r="L1770" s="260"/>
      <c r="M1770" s="260"/>
      <c r="N1770" s="260"/>
      <c r="O1770" s="260"/>
      <c r="P1770" s="211"/>
      <c r="Q1770" s="261"/>
      <c r="R1770" s="208" t="str">
        <f ca="1">IF(ISERROR($V1770),"",OFFSET('Smelter Look-up'!$C$4,$V1770-4,0)&amp;"")</f>
        <v/>
      </c>
      <c r="S1770" s="215" t="str">
        <f t="shared" ca="1" si="249"/>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si="250"/>
        <v>0</v>
      </c>
      <c r="Y1770" s="263"/>
      <c r="Z1770" s="263"/>
      <c r="AB1770" s="265" t="str">
        <f t="shared" si="251"/>
        <v/>
      </c>
    </row>
    <row r="1771" spans="1:28" s="264" customFormat="1" ht="20.399999999999999">
      <c r="A1771" s="207"/>
      <c r="B1771" s="208"/>
      <c r="C1771" s="212"/>
      <c r="D1771" s="270"/>
      <c r="E1771" s="208"/>
      <c r="F1771" s="208"/>
      <c r="G1771" s="208"/>
      <c r="H1771" s="209"/>
      <c r="I1771" s="210"/>
      <c r="J1771" s="210"/>
      <c r="K1771" s="260"/>
      <c r="L1771" s="260"/>
      <c r="M1771" s="260"/>
      <c r="N1771" s="260"/>
      <c r="O1771" s="260"/>
      <c r="P1771" s="211"/>
      <c r="Q1771" s="261"/>
      <c r="R1771" s="208" t="str">
        <f ca="1">IF(ISERROR($V1771),"",OFFSET('Smelter Look-up'!$C$4,$V1771-4,0)&amp;"")</f>
        <v/>
      </c>
      <c r="S1771" s="215" t="str">
        <f t="shared" ca="1" si="249"/>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si="250"/>
        <v>0</v>
      </c>
      <c r="Y1771" s="263"/>
      <c r="Z1771" s="263"/>
      <c r="AB1771" s="265" t="str">
        <f t="shared" si="251"/>
        <v/>
      </c>
    </row>
    <row r="1772" spans="1:28" s="264" customFormat="1" ht="20.399999999999999">
      <c r="A1772" s="207"/>
      <c r="B1772" s="208"/>
      <c r="C1772" s="212"/>
      <c r="D1772" s="270"/>
      <c r="E1772" s="208"/>
      <c r="F1772" s="208"/>
      <c r="G1772" s="208"/>
      <c r="H1772" s="209"/>
      <c r="I1772" s="210"/>
      <c r="J1772" s="210"/>
      <c r="K1772" s="260"/>
      <c r="L1772" s="260"/>
      <c r="M1772" s="260"/>
      <c r="N1772" s="260"/>
      <c r="O1772" s="260"/>
      <c r="P1772" s="211"/>
      <c r="Q1772" s="261"/>
      <c r="R1772" s="208" t="str">
        <f ca="1">IF(ISERROR($V1772),"",OFFSET('Smelter Look-up'!$C$4,$V1772-4,0)&amp;"")</f>
        <v/>
      </c>
      <c r="S1772" s="215" t="str">
        <f t="shared" ca="1" si="249"/>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si="250"/>
        <v>0</v>
      </c>
      <c r="Y1772" s="263"/>
      <c r="Z1772" s="263"/>
      <c r="AB1772" s="265" t="str">
        <f t="shared" si="251"/>
        <v/>
      </c>
    </row>
    <row r="1773" spans="1:28" s="264" customFormat="1" ht="20.399999999999999">
      <c r="A1773" s="207"/>
      <c r="B1773" s="208"/>
      <c r="C1773" s="212"/>
      <c r="D1773" s="270"/>
      <c r="E1773" s="208"/>
      <c r="F1773" s="208"/>
      <c r="G1773" s="208"/>
      <c r="H1773" s="209"/>
      <c r="I1773" s="210"/>
      <c r="J1773" s="210"/>
      <c r="K1773" s="260"/>
      <c r="L1773" s="260"/>
      <c r="M1773" s="260"/>
      <c r="N1773" s="260"/>
      <c r="O1773" s="260"/>
      <c r="P1773" s="211"/>
      <c r="Q1773" s="261"/>
      <c r="R1773" s="208" t="str">
        <f ca="1">IF(ISERROR($V1773),"",OFFSET('Smelter Look-up'!$C$4,$V1773-4,0)&amp;"")</f>
        <v/>
      </c>
      <c r="S1773" s="215" t="str">
        <f t="shared" ca="1" si="249"/>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si="250"/>
        <v>0</v>
      </c>
      <c r="Y1773" s="263"/>
      <c r="Z1773" s="263"/>
      <c r="AB1773" s="265" t="str">
        <f t="shared" si="251"/>
        <v/>
      </c>
    </row>
    <row r="1774" spans="1:28" s="264" customFormat="1" ht="20.399999999999999">
      <c r="A1774" s="207"/>
      <c r="B1774" s="208"/>
      <c r="C1774" s="212"/>
      <c r="D1774" s="270"/>
      <c r="E1774" s="208"/>
      <c r="F1774" s="208"/>
      <c r="G1774" s="208"/>
      <c r="H1774" s="209"/>
      <c r="I1774" s="210"/>
      <c r="J1774" s="210"/>
      <c r="K1774" s="260"/>
      <c r="L1774" s="260"/>
      <c r="M1774" s="260"/>
      <c r="N1774" s="260"/>
      <c r="O1774" s="260"/>
      <c r="P1774" s="211"/>
      <c r="Q1774" s="261"/>
      <c r="R1774" s="208" t="str">
        <f ca="1">IF(ISERROR($V1774),"",OFFSET('Smelter Look-up'!$C$4,$V1774-4,0)&amp;"")</f>
        <v/>
      </c>
      <c r="S1774" s="215" t="str">
        <f t="shared" ca="1" si="249"/>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si="250"/>
        <v>0</v>
      </c>
      <c r="Y1774" s="263"/>
      <c r="Z1774" s="263"/>
      <c r="AB1774" s="265" t="str">
        <f t="shared" si="251"/>
        <v/>
      </c>
    </row>
    <row r="1775" spans="1:28" s="264" customFormat="1" ht="20.399999999999999">
      <c r="A1775" s="207"/>
      <c r="B1775" s="208"/>
      <c r="C1775" s="212"/>
      <c r="D1775" s="270"/>
      <c r="E1775" s="208"/>
      <c r="F1775" s="208"/>
      <c r="G1775" s="208"/>
      <c r="H1775" s="209"/>
      <c r="I1775" s="210"/>
      <c r="J1775" s="210"/>
      <c r="K1775" s="260"/>
      <c r="L1775" s="260"/>
      <c r="M1775" s="260"/>
      <c r="N1775" s="260"/>
      <c r="O1775" s="260"/>
      <c r="P1775" s="211"/>
      <c r="Q1775" s="261"/>
      <c r="R1775" s="208" t="str">
        <f ca="1">IF(ISERROR($V1775),"",OFFSET('Smelter Look-up'!$C$4,$V1775-4,0)&amp;"")</f>
        <v/>
      </c>
      <c r="S1775" s="215" t="str">
        <f t="shared" ca="1" si="249"/>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si="250"/>
        <v>0</v>
      </c>
      <c r="Y1775" s="263"/>
      <c r="Z1775" s="263"/>
      <c r="AB1775" s="265" t="str">
        <f t="shared" si="251"/>
        <v/>
      </c>
    </row>
    <row r="1776" spans="1:28" s="264" customFormat="1" ht="20.399999999999999">
      <c r="A1776" s="207"/>
      <c r="B1776" s="208"/>
      <c r="C1776" s="212"/>
      <c r="D1776" s="270"/>
      <c r="E1776" s="208"/>
      <c r="F1776" s="208"/>
      <c r="G1776" s="208"/>
      <c r="H1776" s="209"/>
      <c r="I1776" s="210"/>
      <c r="J1776" s="210"/>
      <c r="K1776" s="260"/>
      <c r="L1776" s="260"/>
      <c r="M1776" s="260"/>
      <c r="N1776" s="260"/>
      <c r="O1776" s="260"/>
      <c r="P1776" s="211"/>
      <c r="Q1776" s="261"/>
      <c r="R1776" s="208" t="str">
        <f ca="1">IF(ISERROR($V1776),"",OFFSET('Smelter Look-up'!$C$4,$V1776-4,0)&amp;"")</f>
        <v/>
      </c>
      <c r="S1776" s="215" t="str">
        <f t="shared" ca="1" si="249"/>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si="250"/>
        <v>0</v>
      </c>
      <c r="Y1776" s="263"/>
      <c r="Z1776" s="263"/>
      <c r="AB1776" s="265" t="str">
        <f t="shared" si="251"/>
        <v/>
      </c>
    </row>
    <row r="1777" spans="1:28" s="264" customFormat="1" ht="20.399999999999999">
      <c r="A1777" s="207"/>
      <c r="B1777" s="208"/>
      <c r="C1777" s="212"/>
      <c r="D1777" s="270"/>
      <c r="E1777" s="208"/>
      <c r="F1777" s="208"/>
      <c r="G1777" s="208"/>
      <c r="H1777" s="209"/>
      <c r="I1777" s="210"/>
      <c r="J1777" s="210"/>
      <c r="K1777" s="260"/>
      <c r="L1777" s="260"/>
      <c r="M1777" s="260"/>
      <c r="N1777" s="260"/>
      <c r="O1777" s="260"/>
      <c r="P1777" s="211"/>
      <c r="Q1777" s="261"/>
      <c r="R1777" s="208" t="str">
        <f ca="1">IF(ISERROR($V1777),"",OFFSET('Smelter Look-up'!$C$4,$V1777-4,0)&amp;"")</f>
        <v/>
      </c>
      <c r="S1777" s="215" t="str">
        <f t="shared" ca="1" si="249"/>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si="250"/>
        <v>0</v>
      </c>
      <c r="Y1777" s="263"/>
      <c r="Z1777" s="263"/>
      <c r="AB1777" s="265" t="str">
        <f t="shared" si="251"/>
        <v/>
      </c>
    </row>
    <row r="1778" spans="1:28" s="264" customFormat="1" ht="20.399999999999999">
      <c r="A1778" s="207"/>
      <c r="B1778" s="208"/>
      <c r="C1778" s="212"/>
      <c r="D1778" s="270"/>
      <c r="E1778" s="208"/>
      <c r="F1778" s="208"/>
      <c r="G1778" s="208"/>
      <c r="H1778" s="209"/>
      <c r="I1778" s="210"/>
      <c r="J1778" s="210"/>
      <c r="K1778" s="260"/>
      <c r="L1778" s="260"/>
      <c r="M1778" s="260"/>
      <c r="N1778" s="260"/>
      <c r="O1778" s="260"/>
      <c r="P1778" s="211"/>
      <c r="Q1778" s="261"/>
      <c r="R1778" s="208" t="str">
        <f ca="1">IF(ISERROR($V1778),"",OFFSET('Smelter Look-up'!$C$4,$V1778-4,0)&amp;"")</f>
        <v/>
      </c>
      <c r="S1778" s="215" t="str">
        <f t="shared" ca="1" si="249"/>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si="250"/>
        <v>0</v>
      </c>
      <c r="Y1778" s="263"/>
      <c r="Z1778" s="263"/>
      <c r="AB1778" s="265" t="str">
        <f t="shared" si="251"/>
        <v/>
      </c>
    </row>
    <row r="1779" spans="1:28" s="264" customFormat="1" ht="20.399999999999999">
      <c r="A1779" s="207"/>
      <c r="B1779" s="208"/>
      <c r="C1779" s="212"/>
      <c r="D1779" s="270"/>
      <c r="E1779" s="208"/>
      <c r="F1779" s="208"/>
      <c r="G1779" s="208"/>
      <c r="H1779" s="209"/>
      <c r="I1779" s="210"/>
      <c r="J1779" s="210"/>
      <c r="K1779" s="260"/>
      <c r="L1779" s="260"/>
      <c r="M1779" s="260"/>
      <c r="N1779" s="260"/>
      <c r="O1779" s="260"/>
      <c r="P1779" s="211"/>
      <c r="Q1779" s="261"/>
      <c r="R1779" s="208" t="str">
        <f ca="1">IF(ISERROR($V1779),"",OFFSET('Smelter Look-up'!$C$4,$V1779-4,0)&amp;"")</f>
        <v/>
      </c>
      <c r="S1779" s="215" t="str">
        <f t="shared" ca="1" si="249"/>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si="250"/>
        <v>0</v>
      </c>
      <c r="Y1779" s="263"/>
      <c r="Z1779" s="263"/>
      <c r="AB1779" s="265" t="str">
        <f t="shared" si="251"/>
        <v/>
      </c>
    </row>
    <row r="1780" spans="1:28" s="264" customFormat="1" ht="20.399999999999999">
      <c r="A1780" s="207"/>
      <c r="B1780" s="208"/>
      <c r="C1780" s="212"/>
      <c r="D1780" s="270"/>
      <c r="E1780" s="208"/>
      <c r="F1780" s="208"/>
      <c r="G1780" s="208"/>
      <c r="H1780" s="209"/>
      <c r="I1780" s="210"/>
      <c r="J1780" s="210"/>
      <c r="K1780" s="260"/>
      <c r="L1780" s="260"/>
      <c r="M1780" s="260"/>
      <c r="N1780" s="260"/>
      <c r="O1780" s="260"/>
      <c r="P1780" s="211"/>
      <c r="Q1780" s="261"/>
      <c r="R1780" s="208" t="str">
        <f ca="1">IF(ISERROR($V1780),"",OFFSET('Smelter Look-up'!$C$4,$V1780-4,0)&amp;"")</f>
        <v/>
      </c>
      <c r="S1780" s="215" t="str">
        <f t="shared" ca="1" si="249"/>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si="250"/>
        <v>0</v>
      </c>
      <c r="Y1780" s="263"/>
      <c r="Z1780" s="263"/>
      <c r="AB1780" s="265" t="str">
        <f t="shared" si="251"/>
        <v/>
      </c>
    </row>
    <row r="1781" spans="1:28" s="264" customFormat="1" ht="20.399999999999999">
      <c r="A1781" s="207"/>
      <c r="B1781" s="208"/>
      <c r="C1781" s="212"/>
      <c r="D1781" s="270"/>
      <c r="E1781" s="208"/>
      <c r="F1781" s="208"/>
      <c r="G1781" s="208"/>
      <c r="H1781" s="209"/>
      <c r="I1781" s="210"/>
      <c r="J1781" s="210"/>
      <c r="K1781" s="260"/>
      <c r="L1781" s="260"/>
      <c r="M1781" s="260"/>
      <c r="N1781" s="260"/>
      <c r="O1781" s="260"/>
      <c r="P1781" s="211"/>
      <c r="Q1781" s="261"/>
      <c r="R1781" s="208" t="str">
        <f ca="1">IF(ISERROR($V1781),"",OFFSET('Smelter Look-up'!$C$4,$V1781-4,0)&amp;"")</f>
        <v/>
      </c>
      <c r="S1781" s="215" t="str">
        <f t="shared" ca="1" si="249"/>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si="250"/>
        <v>0</v>
      </c>
      <c r="Y1781" s="263"/>
      <c r="Z1781" s="263"/>
      <c r="AB1781" s="265" t="str">
        <f t="shared" si="251"/>
        <v/>
      </c>
    </row>
    <row r="1782" spans="1:28" s="264" customFormat="1" ht="20.399999999999999">
      <c r="A1782" s="207"/>
      <c r="B1782" s="208"/>
      <c r="C1782" s="212"/>
      <c r="D1782" s="270"/>
      <c r="E1782" s="208"/>
      <c r="F1782" s="208"/>
      <c r="G1782" s="208"/>
      <c r="H1782" s="209"/>
      <c r="I1782" s="210"/>
      <c r="J1782" s="210"/>
      <c r="K1782" s="260"/>
      <c r="L1782" s="260"/>
      <c r="M1782" s="260"/>
      <c r="N1782" s="260"/>
      <c r="O1782" s="260"/>
      <c r="P1782" s="211"/>
      <c r="Q1782" s="261"/>
      <c r="R1782" s="208" t="str">
        <f ca="1">IF(ISERROR($V1782),"",OFFSET('Smelter Look-up'!$C$4,$V1782-4,0)&amp;"")</f>
        <v/>
      </c>
      <c r="S1782" s="215" t="str">
        <f t="shared" ca="1" si="249"/>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si="250"/>
        <v>0</v>
      </c>
      <c r="Y1782" s="263"/>
      <c r="Z1782" s="263"/>
      <c r="AB1782" s="265" t="str">
        <f t="shared" si="251"/>
        <v/>
      </c>
    </row>
    <row r="1783" spans="1:28" s="264" customFormat="1" ht="20.399999999999999">
      <c r="A1783" s="207"/>
      <c r="B1783" s="208"/>
      <c r="C1783" s="212"/>
      <c r="D1783" s="270"/>
      <c r="E1783" s="208"/>
      <c r="F1783" s="208"/>
      <c r="G1783" s="208"/>
      <c r="H1783" s="209"/>
      <c r="I1783" s="210"/>
      <c r="J1783" s="210"/>
      <c r="K1783" s="260"/>
      <c r="L1783" s="260"/>
      <c r="M1783" s="260"/>
      <c r="N1783" s="260"/>
      <c r="O1783" s="260"/>
      <c r="P1783" s="211"/>
      <c r="Q1783" s="261"/>
      <c r="R1783" s="208" t="str">
        <f ca="1">IF(ISERROR($V1783),"",OFFSET('Smelter Look-up'!$C$4,$V1783-4,0)&amp;"")</f>
        <v/>
      </c>
      <c r="S1783" s="215" t="str">
        <f t="shared" ca="1" si="249"/>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si="250"/>
        <v>0</v>
      </c>
      <c r="Y1783" s="263"/>
      <c r="Z1783" s="263"/>
      <c r="AB1783" s="265" t="str">
        <f t="shared" si="251"/>
        <v/>
      </c>
    </row>
    <row r="1784" spans="1:28" s="264" customFormat="1" ht="20.399999999999999">
      <c r="A1784" s="207"/>
      <c r="B1784" s="208"/>
      <c r="C1784" s="212"/>
      <c r="D1784" s="270"/>
      <c r="E1784" s="208"/>
      <c r="F1784" s="208"/>
      <c r="G1784" s="208"/>
      <c r="H1784" s="209"/>
      <c r="I1784" s="210"/>
      <c r="J1784" s="210"/>
      <c r="K1784" s="260"/>
      <c r="L1784" s="260"/>
      <c r="M1784" s="260"/>
      <c r="N1784" s="260"/>
      <c r="O1784" s="260"/>
      <c r="P1784" s="211"/>
      <c r="Q1784" s="261"/>
      <c r="R1784" s="208" t="str">
        <f ca="1">IF(ISERROR($V1784),"",OFFSET('Smelter Look-up'!$C$4,$V1784-4,0)&amp;"")</f>
        <v/>
      </c>
      <c r="S1784" s="215" t="str">
        <f t="shared" ca="1" si="249"/>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si="250"/>
        <v>0</v>
      </c>
      <c r="Y1784" s="263"/>
      <c r="Z1784" s="263"/>
      <c r="AB1784" s="265" t="str">
        <f t="shared" si="251"/>
        <v/>
      </c>
    </row>
    <row r="1785" spans="1:28" s="264" customFormat="1" ht="20.399999999999999">
      <c r="A1785" s="207"/>
      <c r="B1785" s="208"/>
      <c r="C1785" s="212"/>
      <c r="D1785" s="270"/>
      <c r="E1785" s="208"/>
      <c r="F1785" s="208"/>
      <c r="G1785" s="208"/>
      <c r="H1785" s="209"/>
      <c r="I1785" s="210"/>
      <c r="J1785" s="210"/>
      <c r="K1785" s="260"/>
      <c r="L1785" s="260"/>
      <c r="M1785" s="260"/>
      <c r="N1785" s="260"/>
      <c r="O1785" s="260"/>
      <c r="P1785" s="211"/>
      <c r="Q1785" s="261"/>
      <c r="R1785" s="208" t="str">
        <f ca="1">IF(ISERROR($V1785),"",OFFSET('Smelter Look-up'!$C$4,$V1785-4,0)&amp;"")</f>
        <v/>
      </c>
      <c r="S1785" s="215" t="str">
        <f t="shared" ca="1" si="249"/>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si="250"/>
        <v>0</v>
      </c>
      <c r="Y1785" s="263"/>
      <c r="Z1785" s="263"/>
      <c r="AB1785" s="265" t="str">
        <f t="shared" si="251"/>
        <v/>
      </c>
    </row>
    <row r="1786" spans="1:28" s="264" customFormat="1" ht="20.399999999999999">
      <c r="A1786" s="207"/>
      <c r="B1786" s="208"/>
      <c r="C1786" s="212"/>
      <c r="D1786" s="270"/>
      <c r="E1786" s="208"/>
      <c r="F1786" s="208"/>
      <c r="G1786" s="208"/>
      <c r="H1786" s="209"/>
      <c r="I1786" s="210"/>
      <c r="J1786" s="210"/>
      <c r="K1786" s="260"/>
      <c r="L1786" s="260"/>
      <c r="M1786" s="260"/>
      <c r="N1786" s="260"/>
      <c r="O1786" s="260"/>
      <c r="P1786" s="211"/>
      <c r="Q1786" s="261"/>
      <c r="R1786" s="208" t="str">
        <f ca="1">IF(ISERROR($V1786),"",OFFSET('Smelter Look-up'!$C$4,$V1786-4,0)&amp;"")</f>
        <v/>
      </c>
      <c r="S1786" s="215" t="str">
        <f t="shared" ca="1" si="249"/>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si="250"/>
        <v>0</v>
      </c>
      <c r="Y1786" s="263"/>
      <c r="Z1786" s="263"/>
      <c r="AB1786" s="265" t="str">
        <f t="shared" si="251"/>
        <v/>
      </c>
    </row>
    <row r="1787" spans="1:28" s="264" customFormat="1" ht="20.399999999999999">
      <c r="A1787" s="207"/>
      <c r="B1787" s="208"/>
      <c r="C1787" s="212"/>
      <c r="D1787" s="270"/>
      <c r="E1787" s="208"/>
      <c r="F1787" s="208"/>
      <c r="G1787" s="208"/>
      <c r="H1787" s="209"/>
      <c r="I1787" s="210"/>
      <c r="J1787" s="210"/>
      <c r="K1787" s="260"/>
      <c r="L1787" s="260"/>
      <c r="M1787" s="260"/>
      <c r="N1787" s="260"/>
      <c r="O1787" s="260"/>
      <c r="P1787" s="211"/>
      <c r="Q1787" s="261"/>
      <c r="R1787" s="208" t="str">
        <f ca="1">IF(ISERROR($V1787),"",OFFSET('Smelter Look-up'!$C$4,$V1787-4,0)&amp;"")</f>
        <v/>
      </c>
      <c r="S1787" s="215" t="str">
        <f t="shared" ref="S1787" ca="1" si="252">IF(B1787="","",IF(ISERROR(MATCH($E1787,CL,0)),"Unknown",INDIRECT("'C'!$A$"&amp;MATCH($E1787,CL,0)+1)))</f>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ref="X1787" si="253">IF(AND(C1787="Smelter not listed",OR(LEN(D1787)=0,LEN(E1787)=0)),1,0)</f>
        <v>0</v>
      </c>
      <c r="Y1787" s="263"/>
      <c r="Z1787" s="263"/>
      <c r="AB1787" s="265" t="str">
        <f t="shared" ref="AB1787" si="254">B1787&amp;C1787</f>
        <v/>
      </c>
    </row>
    <row r="1788" spans="1:28" s="264" customFormat="1" ht="20.399999999999999">
      <c r="A1788" s="207"/>
      <c r="B1788" s="208"/>
      <c r="C1788" s="212"/>
      <c r="D1788" s="270"/>
      <c r="E1788" s="208"/>
      <c r="F1788" s="208"/>
      <c r="G1788" s="208"/>
      <c r="H1788" s="209"/>
      <c r="I1788" s="210"/>
      <c r="J1788" s="210"/>
      <c r="K1788" s="260"/>
      <c r="L1788" s="260"/>
      <c r="M1788" s="260"/>
      <c r="N1788" s="260"/>
      <c r="O1788" s="260"/>
      <c r="P1788" s="211"/>
      <c r="Q1788" s="261"/>
      <c r="R1788" s="208" t="str">
        <f ca="1">IF(ISERROR($V1788),"",OFFSET('Smelter Look-up'!$C$4,$V1788-4,0)&amp;"")</f>
        <v/>
      </c>
      <c r="S1788" s="215" t="str">
        <f t="shared" ref="S1788:S1819" ca="1" si="255">IF(B1788="","",IF(ISERROR(MATCH($E1788,CL,0)),"Unknown",INDIRECT("'C'!$A$"&amp;MATCH($E1788,CL,0)+1)))</f>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ref="X1788:X1819" si="256">IF(AND(C1788="Smelter not listed",OR(LEN(D1788)=0,LEN(E1788)=0)),1,0)</f>
        <v>0</v>
      </c>
      <c r="Y1788" s="263"/>
      <c r="Z1788" s="263"/>
      <c r="AB1788" s="265" t="str">
        <f t="shared" ref="AB1788:AB1819" si="257">B1788&amp;C1788</f>
        <v/>
      </c>
    </row>
    <row r="1789" spans="1:28" s="264" customFormat="1" ht="20.399999999999999">
      <c r="A1789" s="207"/>
      <c r="B1789" s="208"/>
      <c r="C1789" s="212"/>
      <c r="D1789" s="270"/>
      <c r="E1789" s="208"/>
      <c r="F1789" s="208"/>
      <c r="G1789" s="208"/>
      <c r="H1789" s="209"/>
      <c r="I1789" s="210"/>
      <c r="J1789" s="210"/>
      <c r="K1789" s="260"/>
      <c r="L1789" s="260"/>
      <c r="M1789" s="260"/>
      <c r="N1789" s="260"/>
      <c r="O1789" s="260"/>
      <c r="P1789" s="211"/>
      <c r="Q1789" s="261"/>
      <c r="R1789" s="208" t="str">
        <f ca="1">IF(ISERROR($V1789),"",OFFSET('Smelter Look-up'!$C$4,$V1789-4,0)&amp;"")</f>
        <v/>
      </c>
      <c r="S1789" s="215" t="str">
        <f t="shared" ca="1" si="255"/>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si="256"/>
        <v>0</v>
      </c>
      <c r="Y1789" s="263"/>
      <c r="Z1789" s="263"/>
      <c r="AB1789" s="265" t="str">
        <f t="shared" si="257"/>
        <v/>
      </c>
    </row>
    <row r="1790" spans="1:28" s="264" customFormat="1" ht="20.399999999999999">
      <c r="A1790" s="207"/>
      <c r="B1790" s="208"/>
      <c r="C1790" s="212"/>
      <c r="D1790" s="270"/>
      <c r="E1790" s="208"/>
      <c r="F1790" s="208"/>
      <c r="G1790" s="208"/>
      <c r="H1790" s="209"/>
      <c r="I1790" s="210"/>
      <c r="J1790" s="210"/>
      <c r="K1790" s="260"/>
      <c r="L1790" s="260"/>
      <c r="M1790" s="260"/>
      <c r="N1790" s="260"/>
      <c r="O1790" s="260"/>
      <c r="P1790" s="211"/>
      <c r="Q1790" s="261"/>
      <c r="R1790" s="208" t="str">
        <f ca="1">IF(ISERROR($V1790),"",OFFSET('Smelter Look-up'!$C$4,$V1790-4,0)&amp;"")</f>
        <v/>
      </c>
      <c r="S1790" s="215" t="str">
        <f t="shared" ca="1" si="255"/>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si="256"/>
        <v>0</v>
      </c>
      <c r="Y1790" s="263"/>
      <c r="Z1790" s="263"/>
      <c r="AB1790" s="265" t="str">
        <f t="shared" si="257"/>
        <v/>
      </c>
    </row>
    <row r="1791" spans="1:28" s="264" customFormat="1" ht="20.399999999999999">
      <c r="A1791" s="207"/>
      <c r="B1791" s="208"/>
      <c r="C1791" s="212"/>
      <c r="D1791" s="270"/>
      <c r="E1791" s="208"/>
      <c r="F1791" s="208"/>
      <c r="G1791" s="208"/>
      <c r="H1791" s="209"/>
      <c r="I1791" s="210"/>
      <c r="J1791" s="210"/>
      <c r="K1791" s="260"/>
      <c r="L1791" s="260"/>
      <c r="M1791" s="260"/>
      <c r="N1791" s="260"/>
      <c r="O1791" s="260"/>
      <c r="P1791" s="211"/>
      <c r="Q1791" s="261"/>
      <c r="R1791" s="208" t="str">
        <f ca="1">IF(ISERROR($V1791),"",OFFSET('Smelter Look-up'!$C$4,$V1791-4,0)&amp;"")</f>
        <v/>
      </c>
      <c r="S1791" s="215" t="str">
        <f t="shared" ca="1" si="255"/>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si="256"/>
        <v>0</v>
      </c>
      <c r="Y1791" s="263"/>
      <c r="Z1791" s="263"/>
      <c r="AB1791" s="265" t="str">
        <f t="shared" si="257"/>
        <v/>
      </c>
    </row>
    <row r="1792" spans="1:28" s="264" customFormat="1" ht="20.399999999999999">
      <c r="A1792" s="207"/>
      <c r="B1792" s="208"/>
      <c r="C1792" s="212"/>
      <c r="D1792" s="270"/>
      <c r="E1792" s="208"/>
      <c r="F1792" s="208"/>
      <c r="G1792" s="208"/>
      <c r="H1792" s="209"/>
      <c r="I1792" s="210"/>
      <c r="J1792" s="210"/>
      <c r="K1792" s="260"/>
      <c r="L1792" s="260"/>
      <c r="M1792" s="260"/>
      <c r="N1792" s="260"/>
      <c r="O1792" s="260"/>
      <c r="P1792" s="211"/>
      <c r="Q1792" s="261"/>
      <c r="R1792" s="208" t="str">
        <f ca="1">IF(ISERROR($V1792),"",OFFSET('Smelter Look-up'!$C$4,$V1792-4,0)&amp;"")</f>
        <v/>
      </c>
      <c r="S1792" s="215" t="str">
        <f t="shared" ca="1" si="255"/>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si="256"/>
        <v>0</v>
      </c>
      <c r="Y1792" s="263"/>
      <c r="Z1792" s="263"/>
      <c r="AB1792" s="265" t="str">
        <f t="shared" si="257"/>
        <v/>
      </c>
    </row>
    <row r="1793" spans="1:28" s="264" customFormat="1" ht="20.399999999999999">
      <c r="A1793" s="207"/>
      <c r="B1793" s="208"/>
      <c r="C1793" s="212"/>
      <c r="D1793" s="270"/>
      <c r="E1793" s="208"/>
      <c r="F1793" s="208"/>
      <c r="G1793" s="208"/>
      <c r="H1793" s="209"/>
      <c r="I1793" s="210"/>
      <c r="J1793" s="210"/>
      <c r="K1793" s="260"/>
      <c r="L1793" s="260"/>
      <c r="M1793" s="260"/>
      <c r="N1793" s="260"/>
      <c r="O1793" s="260"/>
      <c r="P1793" s="211"/>
      <c r="Q1793" s="261"/>
      <c r="R1793" s="208" t="str">
        <f ca="1">IF(ISERROR($V1793),"",OFFSET('Smelter Look-up'!$C$4,$V1793-4,0)&amp;"")</f>
        <v/>
      </c>
      <c r="S1793" s="215" t="str">
        <f t="shared" ca="1" si="255"/>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si="256"/>
        <v>0</v>
      </c>
      <c r="Y1793" s="263"/>
      <c r="Z1793" s="263"/>
      <c r="AB1793" s="265" t="str">
        <f t="shared" si="257"/>
        <v/>
      </c>
    </row>
    <row r="1794" spans="1:28" s="264" customFormat="1" ht="20.399999999999999">
      <c r="A1794" s="207"/>
      <c r="B1794" s="208"/>
      <c r="C1794" s="212"/>
      <c r="D1794" s="270"/>
      <c r="E1794" s="208"/>
      <c r="F1794" s="208"/>
      <c r="G1794" s="208"/>
      <c r="H1794" s="209"/>
      <c r="I1794" s="210"/>
      <c r="J1794" s="210"/>
      <c r="K1794" s="260"/>
      <c r="L1794" s="260"/>
      <c r="M1794" s="260"/>
      <c r="N1794" s="260"/>
      <c r="O1794" s="260"/>
      <c r="P1794" s="211"/>
      <c r="Q1794" s="261"/>
      <c r="R1794" s="208" t="str">
        <f ca="1">IF(ISERROR($V1794),"",OFFSET('Smelter Look-up'!$C$4,$V1794-4,0)&amp;"")</f>
        <v/>
      </c>
      <c r="S1794" s="215" t="str">
        <f t="shared" ca="1" si="255"/>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si="256"/>
        <v>0</v>
      </c>
      <c r="Y1794" s="263"/>
      <c r="Z1794" s="263"/>
      <c r="AB1794" s="265" t="str">
        <f t="shared" si="257"/>
        <v/>
      </c>
    </row>
    <row r="1795" spans="1:28" s="264" customFormat="1" ht="20.399999999999999">
      <c r="A1795" s="207"/>
      <c r="B1795" s="208"/>
      <c r="C1795" s="212"/>
      <c r="D1795" s="270"/>
      <c r="E1795" s="208"/>
      <c r="F1795" s="208"/>
      <c r="G1795" s="208"/>
      <c r="H1795" s="209"/>
      <c r="I1795" s="210"/>
      <c r="J1795" s="210"/>
      <c r="K1795" s="260"/>
      <c r="L1795" s="260"/>
      <c r="M1795" s="260"/>
      <c r="N1795" s="260"/>
      <c r="O1795" s="260"/>
      <c r="P1795" s="211"/>
      <c r="Q1795" s="261"/>
      <c r="R1795" s="208" t="str">
        <f ca="1">IF(ISERROR($V1795),"",OFFSET('Smelter Look-up'!$C$4,$V1795-4,0)&amp;"")</f>
        <v/>
      </c>
      <c r="S1795" s="215" t="str">
        <f t="shared" ca="1" si="255"/>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si="256"/>
        <v>0</v>
      </c>
      <c r="Y1795" s="263"/>
      <c r="Z1795" s="263"/>
      <c r="AB1795" s="265" t="str">
        <f t="shared" si="257"/>
        <v/>
      </c>
    </row>
    <row r="1796" spans="1:28" s="264" customFormat="1" ht="20.399999999999999">
      <c r="A1796" s="207"/>
      <c r="B1796" s="208"/>
      <c r="C1796" s="212"/>
      <c r="D1796" s="270"/>
      <c r="E1796" s="208"/>
      <c r="F1796" s="208"/>
      <c r="G1796" s="208"/>
      <c r="H1796" s="209"/>
      <c r="I1796" s="210"/>
      <c r="J1796" s="210"/>
      <c r="K1796" s="260"/>
      <c r="L1796" s="260"/>
      <c r="M1796" s="260"/>
      <c r="N1796" s="260"/>
      <c r="O1796" s="260"/>
      <c r="P1796" s="211"/>
      <c r="Q1796" s="261"/>
      <c r="R1796" s="208" t="str">
        <f ca="1">IF(ISERROR($V1796),"",OFFSET('Smelter Look-up'!$C$4,$V1796-4,0)&amp;"")</f>
        <v/>
      </c>
      <c r="S1796" s="215" t="str">
        <f t="shared" ca="1" si="255"/>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si="256"/>
        <v>0</v>
      </c>
      <c r="Y1796" s="263"/>
      <c r="Z1796" s="263"/>
      <c r="AB1796" s="265" t="str">
        <f t="shared" si="257"/>
        <v/>
      </c>
    </row>
    <row r="1797" spans="1:28" s="264" customFormat="1" ht="20.399999999999999">
      <c r="A1797" s="207"/>
      <c r="B1797" s="208"/>
      <c r="C1797" s="212"/>
      <c r="D1797" s="270"/>
      <c r="E1797" s="208"/>
      <c r="F1797" s="208"/>
      <c r="G1797" s="208"/>
      <c r="H1797" s="209"/>
      <c r="I1797" s="210"/>
      <c r="J1797" s="210"/>
      <c r="K1797" s="260"/>
      <c r="L1797" s="260"/>
      <c r="M1797" s="260"/>
      <c r="N1797" s="260"/>
      <c r="O1797" s="260"/>
      <c r="P1797" s="211"/>
      <c r="Q1797" s="261"/>
      <c r="R1797" s="208" t="str">
        <f ca="1">IF(ISERROR($V1797),"",OFFSET('Smelter Look-up'!$C$4,$V1797-4,0)&amp;"")</f>
        <v/>
      </c>
      <c r="S1797" s="215" t="str">
        <f t="shared" ca="1" si="255"/>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si="256"/>
        <v>0</v>
      </c>
      <c r="Y1797" s="263"/>
      <c r="Z1797" s="263"/>
      <c r="AB1797" s="265" t="str">
        <f t="shared" si="257"/>
        <v/>
      </c>
    </row>
    <row r="1798" spans="1:28" s="264" customFormat="1" ht="20.399999999999999">
      <c r="A1798" s="207"/>
      <c r="B1798" s="208"/>
      <c r="C1798" s="212"/>
      <c r="D1798" s="270"/>
      <c r="E1798" s="208"/>
      <c r="F1798" s="208"/>
      <c r="G1798" s="208"/>
      <c r="H1798" s="209"/>
      <c r="I1798" s="210"/>
      <c r="J1798" s="210"/>
      <c r="K1798" s="260"/>
      <c r="L1798" s="260"/>
      <c r="M1798" s="260"/>
      <c r="N1798" s="260"/>
      <c r="O1798" s="260"/>
      <c r="P1798" s="211"/>
      <c r="Q1798" s="261"/>
      <c r="R1798" s="208" t="str">
        <f ca="1">IF(ISERROR($V1798),"",OFFSET('Smelter Look-up'!$C$4,$V1798-4,0)&amp;"")</f>
        <v/>
      </c>
      <c r="S1798" s="215" t="str">
        <f t="shared" ca="1" si="255"/>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si="256"/>
        <v>0</v>
      </c>
      <c r="Y1798" s="263"/>
      <c r="Z1798" s="263"/>
      <c r="AB1798" s="265" t="str">
        <f t="shared" si="257"/>
        <v/>
      </c>
    </row>
    <row r="1799" spans="1:28" s="264" customFormat="1" ht="20.399999999999999">
      <c r="A1799" s="207"/>
      <c r="B1799" s="208"/>
      <c r="C1799" s="212"/>
      <c r="D1799" s="270"/>
      <c r="E1799" s="208"/>
      <c r="F1799" s="208"/>
      <c r="G1799" s="208"/>
      <c r="H1799" s="209"/>
      <c r="I1799" s="210"/>
      <c r="J1799" s="210"/>
      <c r="K1799" s="260"/>
      <c r="L1799" s="260"/>
      <c r="M1799" s="260"/>
      <c r="N1799" s="260"/>
      <c r="O1799" s="260"/>
      <c r="P1799" s="211"/>
      <c r="Q1799" s="261"/>
      <c r="R1799" s="208" t="str">
        <f ca="1">IF(ISERROR($V1799),"",OFFSET('Smelter Look-up'!$C$4,$V1799-4,0)&amp;"")</f>
        <v/>
      </c>
      <c r="S1799" s="215" t="str">
        <f t="shared" ca="1" si="255"/>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si="256"/>
        <v>0</v>
      </c>
      <c r="Y1799" s="263"/>
      <c r="Z1799" s="263"/>
      <c r="AB1799" s="265" t="str">
        <f t="shared" si="257"/>
        <v/>
      </c>
    </row>
    <row r="1800" spans="1:28" s="264" customFormat="1" ht="20.399999999999999">
      <c r="A1800" s="207"/>
      <c r="B1800" s="208"/>
      <c r="C1800" s="212"/>
      <c r="D1800" s="270"/>
      <c r="E1800" s="208"/>
      <c r="F1800" s="208"/>
      <c r="G1800" s="208"/>
      <c r="H1800" s="209"/>
      <c r="I1800" s="210"/>
      <c r="J1800" s="210"/>
      <c r="K1800" s="260"/>
      <c r="L1800" s="260"/>
      <c r="M1800" s="260"/>
      <c r="N1800" s="260"/>
      <c r="O1800" s="260"/>
      <c r="P1800" s="211"/>
      <c r="Q1800" s="261"/>
      <c r="R1800" s="208" t="str">
        <f ca="1">IF(ISERROR($V1800),"",OFFSET('Smelter Look-up'!$C$4,$V1800-4,0)&amp;"")</f>
        <v/>
      </c>
      <c r="S1800" s="215" t="str">
        <f t="shared" ca="1" si="255"/>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si="256"/>
        <v>0</v>
      </c>
      <c r="Y1800" s="263"/>
      <c r="Z1800" s="263"/>
      <c r="AB1800" s="265" t="str">
        <f t="shared" si="257"/>
        <v/>
      </c>
    </row>
    <row r="1801" spans="1:28" s="264" customFormat="1" ht="20.399999999999999">
      <c r="A1801" s="207"/>
      <c r="B1801" s="208"/>
      <c r="C1801" s="212"/>
      <c r="D1801" s="270"/>
      <c r="E1801" s="208"/>
      <c r="F1801" s="208"/>
      <c r="G1801" s="208"/>
      <c r="H1801" s="209"/>
      <c r="I1801" s="210"/>
      <c r="J1801" s="210"/>
      <c r="K1801" s="260"/>
      <c r="L1801" s="260"/>
      <c r="M1801" s="260"/>
      <c r="N1801" s="260"/>
      <c r="O1801" s="260"/>
      <c r="P1801" s="211"/>
      <c r="Q1801" s="261"/>
      <c r="R1801" s="208" t="str">
        <f ca="1">IF(ISERROR($V1801),"",OFFSET('Smelter Look-up'!$C$4,$V1801-4,0)&amp;"")</f>
        <v/>
      </c>
      <c r="S1801" s="215" t="str">
        <f t="shared" ca="1" si="255"/>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si="256"/>
        <v>0</v>
      </c>
      <c r="Y1801" s="263"/>
      <c r="Z1801" s="263"/>
      <c r="AB1801" s="265" t="str">
        <f t="shared" si="257"/>
        <v/>
      </c>
    </row>
    <row r="1802" spans="1:28" s="264" customFormat="1" ht="20.399999999999999">
      <c r="A1802" s="207"/>
      <c r="B1802" s="208"/>
      <c r="C1802" s="212"/>
      <c r="D1802" s="270"/>
      <c r="E1802" s="208"/>
      <c r="F1802" s="208"/>
      <c r="G1802" s="208"/>
      <c r="H1802" s="209"/>
      <c r="I1802" s="210"/>
      <c r="J1802" s="210"/>
      <c r="K1802" s="260"/>
      <c r="L1802" s="260"/>
      <c r="M1802" s="260"/>
      <c r="N1802" s="260"/>
      <c r="O1802" s="260"/>
      <c r="P1802" s="211"/>
      <c r="Q1802" s="261"/>
      <c r="R1802" s="208" t="str">
        <f ca="1">IF(ISERROR($V1802),"",OFFSET('Smelter Look-up'!$C$4,$V1802-4,0)&amp;"")</f>
        <v/>
      </c>
      <c r="S1802" s="215" t="str">
        <f t="shared" ca="1" si="255"/>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si="256"/>
        <v>0</v>
      </c>
      <c r="Y1802" s="263"/>
      <c r="Z1802" s="263"/>
      <c r="AB1802" s="265" t="str">
        <f t="shared" si="257"/>
        <v/>
      </c>
    </row>
    <row r="1803" spans="1:28" s="264" customFormat="1" ht="20.399999999999999">
      <c r="A1803" s="207"/>
      <c r="B1803" s="208"/>
      <c r="C1803" s="212"/>
      <c r="D1803" s="270"/>
      <c r="E1803" s="208"/>
      <c r="F1803" s="208"/>
      <c r="G1803" s="208"/>
      <c r="H1803" s="209"/>
      <c r="I1803" s="210"/>
      <c r="J1803" s="210"/>
      <c r="K1803" s="260"/>
      <c r="L1803" s="260"/>
      <c r="M1803" s="260"/>
      <c r="N1803" s="260"/>
      <c r="O1803" s="260"/>
      <c r="P1803" s="211"/>
      <c r="Q1803" s="261"/>
      <c r="R1803" s="208" t="str">
        <f ca="1">IF(ISERROR($V1803),"",OFFSET('Smelter Look-up'!$C$4,$V1803-4,0)&amp;"")</f>
        <v/>
      </c>
      <c r="S1803" s="215" t="str">
        <f t="shared" ca="1" si="255"/>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si="256"/>
        <v>0</v>
      </c>
      <c r="Y1803" s="263"/>
      <c r="Z1803" s="263"/>
      <c r="AB1803" s="265" t="str">
        <f t="shared" si="257"/>
        <v/>
      </c>
    </row>
    <row r="1804" spans="1:28" s="264" customFormat="1" ht="20.399999999999999">
      <c r="A1804" s="207"/>
      <c r="B1804" s="208"/>
      <c r="C1804" s="212"/>
      <c r="D1804" s="270"/>
      <c r="E1804" s="208"/>
      <c r="F1804" s="208"/>
      <c r="G1804" s="208"/>
      <c r="H1804" s="209"/>
      <c r="I1804" s="210"/>
      <c r="J1804" s="210"/>
      <c r="K1804" s="260"/>
      <c r="L1804" s="260"/>
      <c r="M1804" s="260"/>
      <c r="N1804" s="260"/>
      <c r="O1804" s="260"/>
      <c r="P1804" s="211"/>
      <c r="Q1804" s="261"/>
      <c r="R1804" s="208" t="str">
        <f ca="1">IF(ISERROR($V1804),"",OFFSET('Smelter Look-up'!$C$4,$V1804-4,0)&amp;"")</f>
        <v/>
      </c>
      <c r="S1804" s="215" t="str">
        <f t="shared" ca="1" si="255"/>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si="256"/>
        <v>0</v>
      </c>
      <c r="Y1804" s="263"/>
      <c r="Z1804" s="263"/>
      <c r="AB1804" s="265" t="str">
        <f t="shared" si="257"/>
        <v/>
      </c>
    </row>
    <row r="1805" spans="1:28" s="264" customFormat="1" ht="20.399999999999999">
      <c r="A1805" s="207"/>
      <c r="B1805" s="208"/>
      <c r="C1805" s="212"/>
      <c r="D1805" s="270"/>
      <c r="E1805" s="208"/>
      <c r="F1805" s="208"/>
      <c r="G1805" s="208"/>
      <c r="H1805" s="209"/>
      <c r="I1805" s="210"/>
      <c r="J1805" s="210"/>
      <c r="K1805" s="260"/>
      <c r="L1805" s="260"/>
      <c r="M1805" s="260"/>
      <c r="N1805" s="260"/>
      <c r="O1805" s="260"/>
      <c r="P1805" s="211"/>
      <c r="Q1805" s="261"/>
      <c r="R1805" s="208" t="str">
        <f ca="1">IF(ISERROR($V1805),"",OFFSET('Smelter Look-up'!$C$4,$V1805-4,0)&amp;"")</f>
        <v/>
      </c>
      <c r="S1805" s="215" t="str">
        <f t="shared" ca="1" si="255"/>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si="256"/>
        <v>0</v>
      </c>
      <c r="Y1805" s="263"/>
      <c r="Z1805" s="263"/>
      <c r="AB1805" s="265" t="str">
        <f t="shared" si="257"/>
        <v/>
      </c>
    </row>
    <row r="1806" spans="1:28" s="264" customFormat="1" ht="20.399999999999999">
      <c r="A1806" s="207"/>
      <c r="B1806" s="208"/>
      <c r="C1806" s="212"/>
      <c r="D1806" s="270"/>
      <c r="E1806" s="208"/>
      <c r="F1806" s="208"/>
      <c r="G1806" s="208"/>
      <c r="H1806" s="209"/>
      <c r="I1806" s="210"/>
      <c r="J1806" s="210"/>
      <c r="K1806" s="260"/>
      <c r="L1806" s="260"/>
      <c r="M1806" s="260"/>
      <c r="N1806" s="260"/>
      <c r="O1806" s="260"/>
      <c r="P1806" s="211"/>
      <c r="Q1806" s="261"/>
      <c r="R1806" s="208" t="str">
        <f ca="1">IF(ISERROR($V1806),"",OFFSET('Smelter Look-up'!$C$4,$V1806-4,0)&amp;"")</f>
        <v/>
      </c>
      <c r="S1806" s="215" t="str">
        <f t="shared" ca="1" si="255"/>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si="256"/>
        <v>0</v>
      </c>
      <c r="Y1806" s="263"/>
      <c r="Z1806" s="263"/>
      <c r="AB1806" s="265" t="str">
        <f t="shared" si="257"/>
        <v/>
      </c>
    </row>
    <row r="1807" spans="1:28" s="264" customFormat="1" ht="20.399999999999999">
      <c r="A1807" s="207"/>
      <c r="B1807" s="208"/>
      <c r="C1807" s="212"/>
      <c r="D1807" s="270"/>
      <c r="E1807" s="208"/>
      <c r="F1807" s="208"/>
      <c r="G1807" s="208"/>
      <c r="H1807" s="209"/>
      <c r="I1807" s="210"/>
      <c r="J1807" s="210"/>
      <c r="K1807" s="260"/>
      <c r="L1807" s="260"/>
      <c r="M1807" s="260"/>
      <c r="N1807" s="260"/>
      <c r="O1807" s="260"/>
      <c r="P1807" s="211"/>
      <c r="Q1807" s="261"/>
      <c r="R1807" s="208" t="str">
        <f ca="1">IF(ISERROR($V1807),"",OFFSET('Smelter Look-up'!$C$4,$V1807-4,0)&amp;"")</f>
        <v/>
      </c>
      <c r="S1807" s="215" t="str">
        <f t="shared" ca="1" si="255"/>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si="256"/>
        <v>0</v>
      </c>
      <c r="Y1807" s="263"/>
      <c r="Z1807" s="263"/>
      <c r="AB1807" s="265" t="str">
        <f t="shared" si="257"/>
        <v/>
      </c>
    </row>
    <row r="1808" spans="1:28" s="264" customFormat="1" ht="20.399999999999999">
      <c r="A1808" s="207"/>
      <c r="B1808" s="208"/>
      <c r="C1808" s="212"/>
      <c r="D1808" s="270"/>
      <c r="E1808" s="208"/>
      <c r="F1808" s="208"/>
      <c r="G1808" s="208"/>
      <c r="H1808" s="209"/>
      <c r="I1808" s="210"/>
      <c r="J1808" s="210"/>
      <c r="K1808" s="260"/>
      <c r="L1808" s="260"/>
      <c r="M1808" s="260"/>
      <c r="N1808" s="260"/>
      <c r="O1808" s="260"/>
      <c r="P1808" s="211"/>
      <c r="Q1808" s="261"/>
      <c r="R1808" s="208" t="str">
        <f ca="1">IF(ISERROR($V1808),"",OFFSET('Smelter Look-up'!$C$4,$V1808-4,0)&amp;"")</f>
        <v/>
      </c>
      <c r="S1808" s="215" t="str">
        <f t="shared" ca="1" si="255"/>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si="256"/>
        <v>0</v>
      </c>
      <c r="Y1808" s="263"/>
      <c r="Z1808" s="263"/>
      <c r="AB1808" s="265" t="str">
        <f t="shared" si="257"/>
        <v/>
      </c>
    </row>
    <row r="1809" spans="1:28" s="264" customFormat="1" ht="20.399999999999999">
      <c r="A1809" s="207"/>
      <c r="B1809" s="208"/>
      <c r="C1809" s="212"/>
      <c r="D1809" s="270"/>
      <c r="E1809" s="208"/>
      <c r="F1809" s="208"/>
      <c r="G1809" s="208"/>
      <c r="H1809" s="209"/>
      <c r="I1809" s="210"/>
      <c r="J1809" s="210"/>
      <c r="K1809" s="260"/>
      <c r="L1809" s="260"/>
      <c r="M1809" s="260"/>
      <c r="N1809" s="260"/>
      <c r="O1809" s="260"/>
      <c r="P1809" s="211"/>
      <c r="Q1809" s="261"/>
      <c r="R1809" s="208" t="str">
        <f ca="1">IF(ISERROR($V1809),"",OFFSET('Smelter Look-up'!$C$4,$V1809-4,0)&amp;"")</f>
        <v/>
      </c>
      <c r="S1809" s="215" t="str">
        <f t="shared" ca="1" si="255"/>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si="256"/>
        <v>0</v>
      </c>
      <c r="Y1809" s="263"/>
      <c r="Z1809" s="263"/>
      <c r="AB1809" s="265" t="str">
        <f t="shared" si="257"/>
        <v/>
      </c>
    </row>
    <row r="1810" spans="1:28" s="264" customFormat="1" ht="20.399999999999999">
      <c r="A1810" s="207"/>
      <c r="B1810" s="208"/>
      <c r="C1810" s="212"/>
      <c r="D1810" s="270"/>
      <c r="E1810" s="208"/>
      <c r="F1810" s="208"/>
      <c r="G1810" s="208"/>
      <c r="H1810" s="209"/>
      <c r="I1810" s="210"/>
      <c r="J1810" s="210"/>
      <c r="K1810" s="260"/>
      <c r="L1810" s="260"/>
      <c r="M1810" s="260"/>
      <c r="N1810" s="260"/>
      <c r="O1810" s="260"/>
      <c r="P1810" s="211"/>
      <c r="Q1810" s="261"/>
      <c r="R1810" s="208" t="str">
        <f ca="1">IF(ISERROR($V1810),"",OFFSET('Smelter Look-up'!$C$4,$V1810-4,0)&amp;"")</f>
        <v/>
      </c>
      <c r="S1810" s="215" t="str">
        <f t="shared" ca="1" si="255"/>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si="256"/>
        <v>0</v>
      </c>
      <c r="Y1810" s="263"/>
      <c r="Z1810" s="263"/>
      <c r="AB1810" s="265" t="str">
        <f t="shared" si="257"/>
        <v/>
      </c>
    </row>
    <row r="1811" spans="1:28" s="264" customFormat="1" ht="20.399999999999999">
      <c r="A1811" s="207"/>
      <c r="B1811" s="208"/>
      <c r="C1811" s="212"/>
      <c r="D1811" s="270"/>
      <c r="E1811" s="208"/>
      <c r="F1811" s="208"/>
      <c r="G1811" s="208"/>
      <c r="H1811" s="209"/>
      <c r="I1811" s="210"/>
      <c r="J1811" s="210"/>
      <c r="K1811" s="260"/>
      <c r="L1811" s="260"/>
      <c r="M1811" s="260"/>
      <c r="N1811" s="260"/>
      <c r="O1811" s="260"/>
      <c r="P1811" s="211"/>
      <c r="Q1811" s="261"/>
      <c r="R1811" s="208" t="str">
        <f ca="1">IF(ISERROR($V1811),"",OFFSET('Smelter Look-up'!$C$4,$V1811-4,0)&amp;"")</f>
        <v/>
      </c>
      <c r="S1811" s="215" t="str">
        <f t="shared" ca="1" si="255"/>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si="256"/>
        <v>0</v>
      </c>
      <c r="Y1811" s="263"/>
      <c r="Z1811" s="263"/>
      <c r="AB1811" s="265" t="str">
        <f t="shared" si="257"/>
        <v/>
      </c>
    </row>
    <row r="1812" spans="1:28" s="264" customFormat="1" ht="20.399999999999999">
      <c r="A1812" s="207"/>
      <c r="B1812" s="208"/>
      <c r="C1812" s="212"/>
      <c r="D1812" s="270"/>
      <c r="E1812" s="208"/>
      <c r="F1812" s="208"/>
      <c r="G1812" s="208"/>
      <c r="H1812" s="209"/>
      <c r="I1812" s="210"/>
      <c r="J1812" s="210"/>
      <c r="K1812" s="260"/>
      <c r="L1812" s="260"/>
      <c r="M1812" s="260"/>
      <c r="N1812" s="260"/>
      <c r="O1812" s="260"/>
      <c r="P1812" s="211"/>
      <c r="Q1812" s="261"/>
      <c r="R1812" s="208" t="str">
        <f ca="1">IF(ISERROR($V1812),"",OFFSET('Smelter Look-up'!$C$4,$V1812-4,0)&amp;"")</f>
        <v/>
      </c>
      <c r="S1812" s="215" t="str">
        <f t="shared" ca="1" si="255"/>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si="256"/>
        <v>0</v>
      </c>
      <c r="Y1812" s="263"/>
      <c r="Z1812" s="263"/>
      <c r="AB1812" s="265" t="str">
        <f t="shared" si="257"/>
        <v/>
      </c>
    </row>
    <row r="1813" spans="1:28" s="264" customFormat="1" ht="20.399999999999999">
      <c r="A1813" s="207"/>
      <c r="B1813" s="208"/>
      <c r="C1813" s="212"/>
      <c r="D1813" s="270"/>
      <c r="E1813" s="208"/>
      <c r="F1813" s="208"/>
      <c r="G1813" s="208"/>
      <c r="H1813" s="209"/>
      <c r="I1813" s="210"/>
      <c r="J1813" s="210"/>
      <c r="K1813" s="260"/>
      <c r="L1813" s="260"/>
      <c r="M1813" s="260"/>
      <c r="N1813" s="260"/>
      <c r="O1813" s="260"/>
      <c r="P1813" s="211"/>
      <c r="Q1813" s="261"/>
      <c r="R1813" s="208" t="str">
        <f ca="1">IF(ISERROR($V1813),"",OFFSET('Smelter Look-up'!$C$4,$V1813-4,0)&amp;"")</f>
        <v/>
      </c>
      <c r="S1813" s="215" t="str">
        <f t="shared" ca="1" si="255"/>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si="256"/>
        <v>0</v>
      </c>
      <c r="Y1813" s="263"/>
      <c r="Z1813" s="263"/>
      <c r="AB1813" s="265" t="str">
        <f t="shared" si="257"/>
        <v/>
      </c>
    </row>
    <row r="1814" spans="1:28" s="264" customFormat="1" ht="20.399999999999999">
      <c r="A1814" s="207"/>
      <c r="B1814" s="208"/>
      <c r="C1814" s="212"/>
      <c r="D1814" s="270"/>
      <c r="E1814" s="208"/>
      <c r="F1814" s="208"/>
      <c r="G1814" s="208"/>
      <c r="H1814" s="209"/>
      <c r="I1814" s="210"/>
      <c r="J1814" s="210"/>
      <c r="K1814" s="260"/>
      <c r="L1814" s="260"/>
      <c r="M1814" s="260"/>
      <c r="N1814" s="260"/>
      <c r="O1814" s="260"/>
      <c r="P1814" s="211"/>
      <c r="Q1814" s="261"/>
      <c r="R1814" s="208" t="str">
        <f ca="1">IF(ISERROR($V1814),"",OFFSET('Smelter Look-up'!$C$4,$V1814-4,0)&amp;"")</f>
        <v/>
      </c>
      <c r="S1814" s="215" t="str">
        <f t="shared" ca="1" si="255"/>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si="256"/>
        <v>0</v>
      </c>
      <c r="Y1814" s="263"/>
      <c r="Z1814" s="263"/>
      <c r="AB1814" s="265" t="str">
        <f t="shared" si="257"/>
        <v/>
      </c>
    </row>
    <row r="1815" spans="1:28" s="264" customFormat="1" ht="20.399999999999999">
      <c r="A1815" s="207"/>
      <c r="B1815" s="208"/>
      <c r="C1815" s="212"/>
      <c r="D1815" s="270"/>
      <c r="E1815" s="208"/>
      <c r="F1815" s="208"/>
      <c r="G1815" s="208"/>
      <c r="H1815" s="209"/>
      <c r="I1815" s="210"/>
      <c r="J1815" s="210"/>
      <c r="K1815" s="260"/>
      <c r="L1815" s="260"/>
      <c r="M1815" s="260"/>
      <c r="N1815" s="260"/>
      <c r="O1815" s="260"/>
      <c r="P1815" s="211"/>
      <c r="Q1815" s="261"/>
      <c r="R1815" s="208" t="str">
        <f ca="1">IF(ISERROR($V1815),"",OFFSET('Smelter Look-up'!$C$4,$V1815-4,0)&amp;"")</f>
        <v/>
      </c>
      <c r="S1815" s="215" t="str">
        <f t="shared" ca="1" si="255"/>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si="256"/>
        <v>0</v>
      </c>
      <c r="Y1815" s="263"/>
      <c r="Z1815" s="263"/>
      <c r="AB1815" s="265" t="str">
        <f t="shared" si="257"/>
        <v/>
      </c>
    </row>
    <row r="1816" spans="1:28" s="264" customFormat="1" ht="20.399999999999999">
      <c r="A1816" s="207"/>
      <c r="B1816" s="208"/>
      <c r="C1816" s="212"/>
      <c r="D1816" s="270"/>
      <c r="E1816" s="208"/>
      <c r="F1816" s="208"/>
      <c r="G1816" s="208"/>
      <c r="H1816" s="209"/>
      <c r="I1816" s="210"/>
      <c r="J1816" s="210"/>
      <c r="K1816" s="260"/>
      <c r="L1816" s="260"/>
      <c r="M1816" s="260"/>
      <c r="N1816" s="260"/>
      <c r="O1816" s="260"/>
      <c r="P1816" s="211"/>
      <c r="Q1816" s="261"/>
      <c r="R1816" s="208" t="str">
        <f ca="1">IF(ISERROR($V1816),"",OFFSET('Smelter Look-up'!$C$4,$V1816-4,0)&amp;"")</f>
        <v/>
      </c>
      <c r="S1816" s="215" t="str">
        <f t="shared" ca="1" si="255"/>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si="256"/>
        <v>0</v>
      </c>
      <c r="Y1816" s="263"/>
      <c r="Z1816" s="263"/>
      <c r="AB1816" s="265" t="str">
        <f t="shared" si="257"/>
        <v/>
      </c>
    </row>
    <row r="1817" spans="1:28" s="264" customFormat="1" ht="20.399999999999999">
      <c r="A1817" s="207"/>
      <c r="B1817" s="208"/>
      <c r="C1817" s="212"/>
      <c r="D1817" s="270"/>
      <c r="E1817" s="208"/>
      <c r="F1817" s="208"/>
      <c r="G1817" s="208"/>
      <c r="H1817" s="209"/>
      <c r="I1817" s="210"/>
      <c r="J1817" s="210"/>
      <c r="K1817" s="260"/>
      <c r="L1817" s="260"/>
      <c r="M1817" s="260"/>
      <c r="N1817" s="260"/>
      <c r="O1817" s="260"/>
      <c r="P1817" s="211"/>
      <c r="Q1817" s="261"/>
      <c r="R1817" s="208" t="str">
        <f ca="1">IF(ISERROR($V1817),"",OFFSET('Smelter Look-up'!$C$4,$V1817-4,0)&amp;"")</f>
        <v/>
      </c>
      <c r="S1817" s="215" t="str">
        <f t="shared" ca="1" si="255"/>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si="256"/>
        <v>0</v>
      </c>
      <c r="Y1817" s="263"/>
      <c r="Z1817" s="263"/>
      <c r="AB1817" s="265" t="str">
        <f t="shared" si="257"/>
        <v/>
      </c>
    </row>
    <row r="1818" spans="1:28" s="264" customFormat="1" ht="20.399999999999999">
      <c r="A1818" s="207"/>
      <c r="B1818" s="208"/>
      <c r="C1818" s="212"/>
      <c r="D1818" s="270"/>
      <c r="E1818" s="208"/>
      <c r="F1818" s="208"/>
      <c r="G1818" s="208"/>
      <c r="H1818" s="209"/>
      <c r="I1818" s="210"/>
      <c r="J1818" s="210"/>
      <c r="K1818" s="260"/>
      <c r="L1818" s="260"/>
      <c r="M1818" s="260"/>
      <c r="N1818" s="260"/>
      <c r="O1818" s="260"/>
      <c r="P1818" s="211"/>
      <c r="Q1818" s="261"/>
      <c r="R1818" s="208" t="str">
        <f ca="1">IF(ISERROR($V1818),"",OFFSET('Smelter Look-up'!$C$4,$V1818-4,0)&amp;"")</f>
        <v/>
      </c>
      <c r="S1818" s="215" t="str">
        <f t="shared" ca="1" si="255"/>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si="256"/>
        <v>0</v>
      </c>
      <c r="Y1818" s="263"/>
      <c r="Z1818" s="263"/>
      <c r="AB1818" s="265" t="str">
        <f t="shared" si="257"/>
        <v/>
      </c>
    </row>
    <row r="1819" spans="1:28" s="264" customFormat="1" ht="20.399999999999999">
      <c r="A1819" s="207"/>
      <c r="B1819" s="208"/>
      <c r="C1819" s="212"/>
      <c r="D1819" s="270"/>
      <c r="E1819" s="208"/>
      <c r="F1819" s="208"/>
      <c r="G1819" s="208"/>
      <c r="H1819" s="209"/>
      <c r="I1819" s="210"/>
      <c r="J1819" s="210"/>
      <c r="K1819" s="260"/>
      <c r="L1819" s="260"/>
      <c r="M1819" s="260"/>
      <c r="N1819" s="260"/>
      <c r="O1819" s="260"/>
      <c r="P1819" s="211"/>
      <c r="Q1819" s="261"/>
      <c r="R1819" s="208" t="str">
        <f ca="1">IF(ISERROR($V1819),"",OFFSET('Smelter Look-up'!$C$4,$V1819-4,0)&amp;"")</f>
        <v/>
      </c>
      <c r="S1819" s="215" t="str">
        <f t="shared" ca="1" si="255"/>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si="256"/>
        <v>0</v>
      </c>
      <c r="Y1819" s="263"/>
      <c r="Z1819" s="263"/>
      <c r="AB1819" s="265" t="str">
        <f t="shared" si="257"/>
        <v/>
      </c>
    </row>
    <row r="1820" spans="1:28" s="264" customFormat="1" ht="20.399999999999999">
      <c r="A1820" s="207"/>
      <c r="B1820" s="208"/>
      <c r="C1820" s="212"/>
      <c r="D1820" s="270"/>
      <c r="E1820" s="208"/>
      <c r="F1820" s="208"/>
      <c r="G1820" s="208"/>
      <c r="H1820" s="209"/>
      <c r="I1820" s="210"/>
      <c r="J1820" s="210"/>
      <c r="K1820" s="260"/>
      <c r="L1820" s="260"/>
      <c r="M1820" s="260"/>
      <c r="N1820" s="260"/>
      <c r="O1820" s="260"/>
      <c r="P1820" s="211"/>
      <c r="Q1820" s="261"/>
      <c r="R1820" s="208" t="str">
        <f ca="1">IF(ISERROR($V1820),"",OFFSET('Smelter Look-up'!$C$4,$V1820-4,0)&amp;"")</f>
        <v/>
      </c>
      <c r="S1820" s="215" t="str">
        <f t="shared" ref="S1820:S1850" ca="1" si="258">IF(B1820="","",IF(ISERROR(MATCH($E1820,CL,0)),"Unknown",INDIRECT("'C'!$A$"&amp;MATCH($E1820,CL,0)+1)))</f>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ref="X1820:X1850" si="259">IF(AND(C1820="Smelter not listed",OR(LEN(D1820)=0,LEN(E1820)=0)),1,0)</f>
        <v>0</v>
      </c>
      <c r="Y1820" s="263"/>
      <c r="Z1820" s="263"/>
      <c r="AB1820" s="265" t="str">
        <f t="shared" ref="AB1820:AB1850" si="260">B1820&amp;C1820</f>
        <v/>
      </c>
    </row>
    <row r="1821" spans="1:28" s="264" customFormat="1" ht="20.399999999999999">
      <c r="A1821" s="207"/>
      <c r="B1821" s="208"/>
      <c r="C1821" s="212"/>
      <c r="D1821" s="270"/>
      <c r="E1821" s="208"/>
      <c r="F1821" s="208"/>
      <c r="G1821" s="208"/>
      <c r="H1821" s="209"/>
      <c r="I1821" s="210"/>
      <c r="J1821" s="210"/>
      <c r="K1821" s="260"/>
      <c r="L1821" s="260"/>
      <c r="M1821" s="260"/>
      <c r="N1821" s="260"/>
      <c r="O1821" s="260"/>
      <c r="P1821" s="211"/>
      <c r="Q1821" s="261"/>
      <c r="R1821" s="208" t="str">
        <f ca="1">IF(ISERROR($V1821),"",OFFSET('Smelter Look-up'!$C$4,$V1821-4,0)&amp;"")</f>
        <v/>
      </c>
      <c r="S1821" s="215" t="str">
        <f t="shared" ca="1" si="258"/>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si="259"/>
        <v>0</v>
      </c>
      <c r="Y1821" s="263"/>
      <c r="Z1821" s="263"/>
      <c r="AB1821" s="265" t="str">
        <f t="shared" si="260"/>
        <v/>
      </c>
    </row>
    <row r="1822" spans="1:28" s="264" customFormat="1" ht="20.399999999999999">
      <c r="A1822" s="207"/>
      <c r="B1822" s="208"/>
      <c r="C1822" s="212"/>
      <c r="D1822" s="270"/>
      <c r="E1822" s="208"/>
      <c r="F1822" s="208"/>
      <c r="G1822" s="208"/>
      <c r="H1822" s="209"/>
      <c r="I1822" s="210"/>
      <c r="J1822" s="210"/>
      <c r="K1822" s="260"/>
      <c r="L1822" s="260"/>
      <c r="M1822" s="260"/>
      <c r="N1822" s="260"/>
      <c r="O1822" s="260"/>
      <c r="P1822" s="211"/>
      <c r="Q1822" s="261"/>
      <c r="R1822" s="208" t="str">
        <f ca="1">IF(ISERROR($V1822),"",OFFSET('Smelter Look-up'!$C$4,$V1822-4,0)&amp;"")</f>
        <v/>
      </c>
      <c r="S1822" s="215" t="str">
        <f t="shared" ca="1" si="258"/>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si="259"/>
        <v>0</v>
      </c>
      <c r="Y1822" s="263"/>
      <c r="Z1822" s="263"/>
      <c r="AB1822" s="265" t="str">
        <f t="shared" si="260"/>
        <v/>
      </c>
    </row>
    <row r="1823" spans="1:28" s="264" customFormat="1" ht="20.399999999999999">
      <c r="A1823" s="207"/>
      <c r="B1823" s="208"/>
      <c r="C1823" s="212"/>
      <c r="D1823" s="270"/>
      <c r="E1823" s="208"/>
      <c r="F1823" s="208"/>
      <c r="G1823" s="208"/>
      <c r="H1823" s="209"/>
      <c r="I1823" s="210"/>
      <c r="J1823" s="210"/>
      <c r="K1823" s="260"/>
      <c r="L1823" s="260"/>
      <c r="M1823" s="260"/>
      <c r="N1823" s="260"/>
      <c r="O1823" s="260"/>
      <c r="P1823" s="211"/>
      <c r="Q1823" s="261"/>
      <c r="R1823" s="208" t="str">
        <f ca="1">IF(ISERROR($V1823),"",OFFSET('Smelter Look-up'!$C$4,$V1823-4,0)&amp;"")</f>
        <v/>
      </c>
      <c r="S1823" s="215" t="str">
        <f t="shared" ca="1" si="258"/>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si="259"/>
        <v>0</v>
      </c>
      <c r="Y1823" s="263"/>
      <c r="Z1823" s="263"/>
      <c r="AB1823" s="265" t="str">
        <f t="shared" si="260"/>
        <v/>
      </c>
    </row>
    <row r="1824" spans="1:28" s="264" customFormat="1" ht="20.399999999999999">
      <c r="A1824" s="207"/>
      <c r="B1824" s="208"/>
      <c r="C1824" s="212"/>
      <c r="D1824" s="270"/>
      <c r="E1824" s="208"/>
      <c r="F1824" s="208"/>
      <c r="G1824" s="208"/>
      <c r="H1824" s="209"/>
      <c r="I1824" s="210"/>
      <c r="J1824" s="210"/>
      <c r="K1824" s="260"/>
      <c r="L1824" s="260"/>
      <c r="M1824" s="260"/>
      <c r="N1824" s="260"/>
      <c r="O1824" s="260"/>
      <c r="P1824" s="211"/>
      <c r="Q1824" s="261"/>
      <c r="R1824" s="208" t="str">
        <f ca="1">IF(ISERROR($V1824),"",OFFSET('Smelter Look-up'!$C$4,$V1824-4,0)&amp;"")</f>
        <v/>
      </c>
      <c r="S1824" s="215" t="str">
        <f t="shared" ca="1" si="258"/>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si="259"/>
        <v>0</v>
      </c>
      <c r="Y1824" s="263"/>
      <c r="Z1824" s="263"/>
      <c r="AB1824" s="265" t="str">
        <f t="shared" si="260"/>
        <v/>
      </c>
    </row>
    <row r="1825" spans="1:28" s="264" customFormat="1" ht="20.399999999999999">
      <c r="A1825" s="207"/>
      <c r="B1825" s="208"/>
      <c r="C1825" s="212"/>
      <c r="D1825" s="270"/>
      <c r="E1825" s="208"/>
      <c r="F1825" s="208"/>
      <c r="G1825" s="208"/>
      <c r="H1825" s="209"/>
      <c r="I1825" s="210"/>
      <c r="J1825" s="210"/>
      <c r="K1825" s="260"/>
      <c r="L1825" s="260"/>
      <c r="M1825" s="260"/>
      <c r="N1825" s="260"/>
      <c r="O1825" s="260"/>
      <c r="P1825" s="211"/>
      <c r="Q1825" s="261"/>
      <c r="R1825" s="208" t="str">
        <f ca="1">IF(ISERROR($V1825),"",OFFSET('Smelter Look-up'!$C$4,$V1825-4,0)&amp;"")</f>
        <v/>
      </c>
      <c r="S1825" s="215" t="str">
        <f t="shared" ca="1" si="258"/>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si="259"/>
        <v>0</v>
      </c>
      <c r="Y1825" s="263"/>
      <c r="Z1825" s="263"/>
      <c r="AB1825" s="265" t="str">
        <f t="shared" si="260"/>
        <v/>
      </c>
    </row>
    <row r="1826" spans="1:28" s="264" customFormat="1" ht="20.399999999999999">
      <c r="A1826" s="207"/>
      <c r="B1826" s="208"/>
      <c r="C1826" s="212"/>
      <c r="D1826" s="270"/>
      <c r="E1826" s="208"/>
      <c r="F1826" s="208"/>
      <c r="G1826" s="208"/>
      <c r="H1826" s="209"/>
      <c r="I1826" s="210"/>
      <c r="J1826" s="210"/>
      <c r="K1826" s="260"/>
      <c r="L1826" s="260"/>
      <c r="M1826" s="260"/>
      <c r="N1826" s="260"/>
      <c r="O1826" s="260"/>
      <c r="P1826" s="211"/>
      <c r="Q1826" s="261"/>
      <c r="R1826" s="208" t="str">
        <f ca="1">IF(ISERROR($V1826),"",OFFSET('Smelter Look-up'!$C$4,$V1826-4,0)&amp;"")</f>
        <v/>
      </c>
      <c r="S1826" s="215" t="str">
        <f t="shared" ca="1" si="258"/>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si="259"/>
        <v>0</v>
      </c>
      <c r="Y1826" s="263"/>
      <c r="Z1826" s="263"/>
      <c r="AB1826" s="265" t="str">
        <f t="shared" si="260"/>
        <v/>
      </c>
    </row>
    <row r="1827" spans="1:28" s="264" customFormat="1" ht="20.399999999999999">
      <c r="A1827" s="207"/>
      <c r="B1827" s="208"/>
      <c r="C1827" s="212"/>
      <c r="D1827" s="270"/>
      <c r="E1827" s="208"/>
      <c r="F1827" s="208"/>
      <c r="G1827" s="208"/>
      <c r="H1827" s="209"/>
      <c r="I1827" s="210"/>
      <c r="J1827" s="210"/>
      <c r="K1827" s="260"/>
      <c r="L1827" s="260"/>
      <c r="M1827" s="260"/>
      <c r="N1827" s="260"/>
      <c r="O1827" s="260"/>
      <c r="P1827" s="211"/>
      <c r="Q1827" s="261"/>
      <c r="R1827" s="208" t="str">
        <f ca="1">IF(ISERROR($V1827),"",OFFSET('Smelter Look-up'!$C$4,$V1827-4,0)&amp;"")</f>
        <v/>
      </c>
      <c r="S1827" s="215" t="str">
        <f t="shared" ca="1" si="258"/>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si="259"/>
        <v>0</v>
      </c>
      <c r="Y1827" s="263"/>
      <c r="Z1827" s="263"/>
      <c r="AB1827" s="265" t="str">
        <f t="shared" si="260"/>
        <v/>
      </c>
    </row>
    <row r="1828" spans="1:28" s="264" customFormat="1" ht="20.399999999999999">
      <c r="A1828" s="207"/>
      <c r="B1828" s="208"/>
      <c r="C1828" s="212"/>
      <c r="D1828" s="270"/>
      <c r="E1828" s="208"/>
      <c r="F1828" s="208"/>
      <c r="G1828" s="208"/>
      <c r="H1828" s="209"/>
      <c r="I1828" s="210"/>
      <c r="J1828" s="210"/>
      <c r="K1828" s="260"/>
      <c r="L1828" s="260"/>
      <c r="M1828" s="260"/>
      <c r="N1828" s="260"/>
      <c r="O1828" s="260"/>
      <c r="P1828" s="211"/>
      <c r="Q1828" s="261"/>
      <c r="R1828" s="208" t="str">
        <f ca="1">IF(ISERROR($V1828),"",OFFSET('Smelter Look-up'!$C$4,$V1828-4,0)&amp;"")</f>
        <v/>
      </c>
      <c r="S1828" s="215" t="str">
        <f t="shared" ca="1" si="258"/>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si="259"/>
        <v>0</v>
      </c>
      <c r="Y1828" s="263"/>
      <c r="Z1828" s="263"/>
      <c r="AB1828" s="265" t="str">
        <f t="shared" si="260"/>
        <v/>
      </c>
    </row>
    <row r="1829" spans="1:28" s="264" customFormat="1" ht="20.399999999999999">
      <c r="A1829" s="207"/>
      <c r="B1829" s="208"/>
      <c r="C1829" s="212"/>
      <c r="D1829" s="270"/>
      <c r="E1829" s="208"/>
      <c r="F1829" s="208"/>
      <c r="G1829" s="208"/>
      <c r="H1829" s="209"/>
      <c r="I1829" s="210"/>
      <c r="J1829" s="210"/>
      <c r="K1829" s="260"/>
      <c r="L1829" s="260"/>
      <c r="M1829" s="260"/>
      <c r="N1829" s="260"/>
      <c r="O1829" s="260"/>
      <c r="P1829" s="211"/>
      <c r="Q1829" s="261"/>
      <c r="R1829" s="208" t="str">
        <f ca="1">IF(ISERROR($V1829),"",OFFSET('Smelter Look-up'!$C$4,$V1829-4,0)&amp;"")</f>
        <v/>
      </c>
      <c r="S1829" s="215" t="str">
        <f t="shared" ca="1" si="258"/>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si="259"/>
        <v>0</v>
      </c>
      <c r="Y1829" s="263"/>
      <c r="Z1829" s="263"/>
      <c r="AB1829" s="265" t="str">
        <f t="shared" si="260"/>
        <v/>
      </c>
    </row>
    <row r="1830" spans="1:28" s="264" customFormat="1" ht="20.399999999999999">
      <c r="A1830" s="207"/>
      <c r="B1830" s="208"/>
      <c r="C1830" s="212"/>
      <c r="D1830" s="270"/>
      <c r="E1830" s="208"/>
      <c r="F1830" s="208"/>
      <c r="G1830" s="208"/>
      <c r="H1830" s="209"/>
      <c r="I1830" s="210"/>
      <c r="J1830" s="210"/>
      <c r="K1830" s="260"/>
      <c r="L1830" s="260"/>
      <c r="M1830" s="260"/>
      <c r="N1830" s="260"/>
      <c r="O1830" s="260"/>
      <c r="P1830" s="211"/>
      <c r="Q1830" s="261"/>
      <c r="R1830" s="208" t="str">
        <f ca="1">IF(ISERROR($V1830),"",OFFSET('Smelter Look-up'!$C$4,$V1830-4,0)&amp;"")</f>
        <v/>
      </c>
      <c r="S1830" s="215" t="str">
        <f t="shared" ca="1" si="258"/>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si="259"/>
        <v>0</v>
      </c>
      <c r="Y1830" s="263"/>
      <c r="Z1830" s="263"/>
      <c r="AB1830" s="265" t="str">
        <f t="shared" si="260"/>
        <v/>
      </c>
    </row>
    <row r="1831" spans="1:28" s="264" customFormat="1" ht="20.399999999999999">
      <c r="A1831" s="207"/>
      <c r="B1831" s="208"/>
      <c r="C1831" s="212"/>
      <c r="D1831" s="270"/>
      <c r="E1831" s="208"/>
      <c r="F1831" s="208"/>
      <c r="G1831" s="208"/>
      <c r="H1831" s="209"/>
      <c r="I1831" s="210"/>
      <c r="J1831" s="210"/>
      <c r="K1831" s="260"/>
      <c r="L1831" s="260"/>
      <c r="M1831" s="260"/>
      <c r="N1831" s="260"/>
      <c r="O1831" s="260"/>
      <c r="P1831" s="211"/>
      <c r="Q1831" s="261"/>
      <c r="R1831" s="208" t="str">
        <f ca="1">IF(ISERROR($V1831),"",OFFSET('Smelter Look-up'!$C$4,$V1831-4,0)&amp;"")</f>
        <v/>
      </c>
      <c r="S1831" s="215" t="str">
        <f t="shared" ca="1" si="258"/>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si="259"/>
        <v>0</v>
      </c>
      <c r="Y1831" s="263"/>
      <c r="Z1831" s="263"/>
      <c r="AB1831" s="265" t="str">
        <f t="shared" si="260"/>
        <v/>
      </c>
    </row>
    <row r="1832" spans="1:28" s="264" customFormat="1" ht="20.399999999999999">
      <c r="A1832" s="207"/>
      <c r="B1832" s="208"/>
      <c r="C1832" s="212"/>
      <c r="D1832" s="270"/>
      <c r="E1832" s="208"/>
      <c r="F1832" s="208"/>
      <c r="G1832" s="208"/>
      <c r="H1832" s="209"/>
      <c r="I1832" s="210"/>
      <c r="J1832" s="210"/>
      <c r="K1832" s="260"/>
      <c r="L1832" s="260"/>
      <c r="M1832" s="260"/>
      <c r="N1832" s="260"/>
      <c r="O1832" s="260"/>
      <c r="P1832" s="211"/>
      <c r="Q1832" s="261"/>
      <c r="R1832" s="208" t="str">
        <f ca="1">IF(ISERROR($V1832),"",OFFSET('Smelter Look-up'!$C$4,$V1832-4,0)&amp;"")</f>
        <v/>
      </c>
      <c r="S1832" s="215" t="str">
        <f t="shared" ca="1" si="258"/>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si="259"/>
        <v>0</v>
      </c>
      <c r="Y1832" s="263"/>
      <c r="Z1832" s="263"/>
      <c r="AB1832" s="265" t="str">
        <f t="shared" si="260"/>
        <v/>
      </c>
    </row>
    <row r="1833" spans="1:28" s="264" customFormat="1" ht="20.399999999999999">
      <c r="A1833" s="207"/>
      <c r="B1833" s="208"/>
      <c r="C1833" s="212"/>
      <c r="D1833" s="270"/>
      <c r="E1833" s="208"/>
      <c r="F1833" s="208"/>
      <c r="G1833" s="208"/>
      <c r="H1833" s="209"/>
      <c r="I1833" s="210"/>
      <c r="J1833" s="210"/>
      <c r="K1833" s="260"/>
      <c r="L1833" s="260"/>
      <c r="M1833" s="260"/>
      <c r="N1833" s="260"/>
      <c r="O1833" s="260"/>
      <c r="P1833" s="211"/>
      <c r="Q1833" s="261"/>
      <c r="R1833" s="208" t="str">
        <f ca="1">IF(ISERROR($V1833),"",OFFSET('Smelter Look-up'!$C$4,$V1833-4,0)&amp;"")</f>
        <v/>
      </c>
      <c r="S1833" s="215" t="str">
        <f t="shared" ca="1" si="258"/>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si="259"/>
        <v>0</v>
      </c>
      <c r="Y1833" s="263"/>
      <c r="Z1833" s="263"/>
      <c r="AB1833" s="265" t="str">
        <f t="shared" si="260"/>
        <v/>
      </c>
    </row>
    <row r="1834" spans="1:28" s="264" customFormat="1" ht="20.399999999999999">
      <c r="A1834" s="207"/>
      <c r="B1834" s="208"/>
      <c r="C1834" s="212"/>
      <c r="D1834" s="270"/>
      <c r="E1834" s="208"/>
      <c r="F1834" s="208"/>
      <c r="G1834" s="208"/>
      <c r="H1834" s="209"/>
      <c r="I1834" s="210"/>
      <c r="J1834" s="210"/>
      <c r="K1834" s="260"/>
      <c r="L1834" s="260"/>
      <c r="M1834" s="260"/>
      <c r="N1834" s="260"/>
      <c r="O1834" s="260"/>
      <c r="P1834" s="211"/>
      <c r="Q1834" s="261"/>
      <c r="R1834" s="208" t="str">
        <f ca="1">IF(ISERROR($V1834),"",OFFSET('Smelter Look-up'!$C$4,$V1834-4,0)&amp;"")</f>
        <v/>
      </c>
      <c r="S1834" s="215" t="str">
        <f t="shared" ca="1" si="258"/>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si="259"/>
        <v>0</v>
      </c>
      <c r="Y1834" s="263"/>
      <c r="Z1834" s="263"/>
      <c r="AB1834" s="265" t="str">
        <f t="shared" si="260"/>
        <v/>
      </c>
    </row>
    <row r="1835" spans="1:28" s="264" customFormat="1" ht="20.399999999999999">
      <c r="A1835" s="207"/>
      <c r="B1835" s="208"/>
      <c r="C1835" s="212"/>
      <c r="D1835" s="270"/>
      <c r="E1835" s="208"/>
      <c r="F1835" s="208"/>
      <c r="G1835" s="208"/>
      <c r="H1835" s="209"/>
      <c r="I1835" s="210"/>
      <c r="J1835" s="210"/>
      <c r="K1835" s="260"/>
      <c r="L1835" s="260"/>
      <c r="M1835" s="260"/>
      <c r="N1835" s="260"/>
      <c r="O1835" s="260"/>
      <c r="P1835" s="211"/>
      <c r="Q1835" s="261"/>
      <c r="R1835" s="208" t="str">
        <f ca="1">IF(ISERROR($V1835),"",OFFSET('Smelter Look-up'!$C$4,$V1835-4,0)&amp;"")</f>
        <v/>
      </c>
      <c r="S1835" s="215" t="str">
        <f t="shared" ca="1" si="258"/>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si="259"/>
        <v>0</v>
      </c>
      <c r="Y1835" s="263"/>
      <c r="Z1835" s="263"/>
      <c r="AB1835" s="265" t="str">
        <f t="shared" si="260"/>
        <v/>
      </c>
    </row>
    <row r="1836" spans="1:28" s="264" customFormat="1" ht="20.399999999999999">
      <c r="A1836" s="207"/>
      <c r="B1836" s="208"/>
      <c r="C1836" s="212"/>
      <c r="D1836" s="270"/>
      <c r="E1836" s="208"/>
      <c r="F1836" s="208"/>
      <c r="G1836" s="208"/>
      <c r="H1836" s="209"/>
      <c r="I1836" s="210"/>
      <c r="J1836" s="210"/>
      <c r="K1836" s="260"/>
      <c r="L1836" s="260"/>
      <c r="M1836" s="260"/>
      <c r="N1836" s="260"/>
      <c r="O1836" s="260"/>
      <c r="P1836" s="211"/>
      <c r="Q1836" s="261"/>
      <c r="R1836" s="208" t="str">
        <f ca="1">IF(ISERROR($V1836),"",OFFSET('Smelter Look-up'!$C$4,$V1836-4,0)&amp;"")</f>
        <v/>
      </c>
      <c r="S1836" s="215" t="str">
        <f t="shared" ca="1" si="258"/>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si="259"/>
        <v>0</v>
      </c>
      <c r="Y1836" s="263"/>
      <c r="Z1836" s="263"/>
      <c r="AB1836" s="265" t="str">
        <f t="shared" si="260"/>
        <v/>
      </c>
    </row>
    <row r="1837" spans="1:28" s="264" customFormat="1" ht="20.399999999999999">
      <c r="A1837" s="207"/>
      <c r="B1837" s="208"/>
      <c r="C1837" s="212"/>
      <c r="D1837" s="270"/>
      <c r="E1837" s="208"/>
      <c r="F1837" s="208"/>
      <c r="G1837" s="208"/>
      <c r="H1837" s="209"/>
      <c r="I1837" s="210"/>
      <c r="J1837" s="210"/>
      <c r="K1837" s="260"/>
      <c r="L1837" s="260"/>
      <c r="M1837" s="260"/>
      <c r="N1837" s="260"/>
      <c r="O1837" s="260"/>
      <c r="P1837" s="211"/>
      <c r="Q1837" s="261"/>
      <c r="R1837" s="208" t="str">
        <f ca="1">IF(ISERROR($V1837),"",OFFSET('Smelter Look-up'!$C$4,$V1837-4,0)&amp;"")</f>
        <v/>
      </c>
      <c r="S1837" s="215" t="str">
        <f t="shared" ca="1" si="258"/>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si="259"/>
        <v>0</v>
      </c>
      <c r="Y1837" s="263"/>
      <c r="Z1837" s="263"/>
      <c r="AB1837" s="265" t="str">
        <f t="shared" si="260"/>
        <v/>
      </c>
    </row>
    <row r="1838" spans="1:28" s="264" customFormat="1" ht="20.399999999999999">
      <c r="A1838" s="207"/>
      <c r="B1838" s="208"/>
      <c r="C1838" s="212"/>
      <c r="D1838" s="270"/>
      <c r="E1838" s="208"/>
      <c r="F1838" s="208"/>
      <c r="G1838" s="208"/>
      <c r="H1838" s="209"/>
      <c r="I1838" s="210"/>
      <c r="J1838" s="210"/>
      <c r="K1838" s="260"/>
      <c r="L1838" s="260"/>
      <c r="M1838" s="260"/>
      <c r="N1838" s="260"/>
      <c r="O1838" s="260"/>
      <c r="P1838" s="211"/>
      <c r="Q1838" s="261"/>
      <c r="R1838" s="208" t="str">
        <f ca="1">IF(ISERROR($V1838),"",OFFSET('Smelter Look-up'!$C$4,$V1838-4,0)&amp;"")</f>
        <v/>
      </c>
      <c r="S1838" s="215" t="str">
        <f t="shared" ca="1" si="258"/>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si="259"/>
        <v>0</v>
      </c>
      <c r="Y1838" s="263"/>
      <c r="Z1838" s="263"/>
      <c r="AB1838" s="265" t="str">
        <f t="shared" si="260"/>
        <v/>
      </c>
    </row>
    <row r="1839" spans="1:28" s="264" customFormat="1" ht="20.399999999999999">
      <c r="A1839" s="207"/>
      <c r="B1839" s="208"/>
      <c r="C1839" s="212"/>
      <c r="D1839" s="270"/>
      <c r="E1839" s="208"/>
      <c r="F1839" s="208"/>
      <c r="G1839" s="208"/>
      <c r="H1839" s="209"/>
      <c r="I1839" s="210"/>
      <c r="J1839" s="210"/>
      <c r="K1839" s="260"/>
      <c r="L1839" s="260"/>
      <c r="M1839" s="260"/>
      <c r="N1839" s="260"/>
      <c r="O1839" s="260"/>
      <c r="P1839" s="211"/>
      <c r="Q1839" s="261"/>
      <c r="R1839" s="208" t="str">
        <f ca="1">IF(ISERROR($V1839),"",OFFSET('Smelter Look-up'!$C$4,$V1839-4,0)&amp;"")</f>
        <v/>
      </c>
      <c r="S1839" s="215" t="str">
        <f t="shared" ca="1" si="258"/>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si="259"/>
        <v>0</v>
      </c>
      <c r="Y1839" s="263"/>
      <c r="Z1839" s="263"/>
      <c r="AB1839" s="265" t="str">
        <f t="shared" si="260"/>
        <v/>
      </c>
    </row>
    <row r="1840" spans="1:28" s="264" customFormat="1" ht="20.399999999999999">
      <c r="A1840" s="207"/>
      <c r="B1840" s="208"/>
      <c r="C1840" s="212"/>
      <c r="D1840" s="270"/>
      <c r="E1840" s="208"/>
      <c r="F1840" s="208"/>
      <c r="G1840" s="208"/>
      <c r="H1840" s="209"/>
      <c r="I1840" s="210"/>
      <c r="J1840" s="210"/>
      <c r="K1840" s="260"/>
      <c r="L1840" s="260"/>
      <c r="M1840" s="260"/>
      <c r="N1840" s="260"/>
      <c r="O1840" s="260"/>
      <c r="P1840" s="211"/>
      <c r="Q1840" s="261"/>
      <c r="R1840" s="208" t="str">
        <f ca="1">IF(ISERROR($V1840),"",OFFSET('Smelter Look-up'!$C$4,$V1840-4,0)&amp;"")</f>
        <v/>
      </c>
      <c r="S1840" s="215" t="str">
        <f t="shared" ca="1" si="258"/>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si="259"/>
        <v>0</v>
      </c>
      <c r="Y1840" s="263"/>
      <c r="Z1840" s="263"/>
      <c r="AB1840" s="265" t="str">
        <f t="shared" si="260"/>
        <v/>
      </c>
    </row>
    <row r="1841" spans="1:28" s="264" customFormat="1" ht="20.399999999999999">
      <c r="A1841" s="207"/>
      <c r="B1841" s="208"/>
      <c r="C1841" s="212"/>
      <c r="D1841" s="270"/>
      <c r="E1841" s="208"/>
      <c r="F1841" s="208"/>
      <c r="G1841" s="208"/>
      <c r="H1841" s="209"/>
      <c r="I1841" s="210"/>
      <c r="J1841" s="210"/>
      <c r="K1841" s="260"/>
      <c r="L1841" s="260"/>
      <c r="M1841" s="260"/>
      <c r="N1841" s="260"/>
      <c r="O1841" s="260"/>
      <c r="P1841" s="211"/>
      <c r="Q1841" s="261"/>
      <c r="R1841" s="208" t="str">
        <f ca="1">IF(ISERROR($V1841),"",OFFSET('Smelter Look-up'!$C$4,$V1841-4,0)&amp;"")</f>
        <v/>
      </c>
      <c r="S1841" s="215" t="str">
        <f t="shared" ca="1" si="258"/>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si="259"/>
        <v>0</v>
      </c>
      <c r="Y1841" s="263"/>
      <c r="Z1841" s="263"/>
      <c r="AB1841" s="265" t="str">
        <f t="shared" si="260"/>
        <v/>
      </c>
    </row>
    <row r="1842" spans="1:28" s="264" customFormat="1" ht="20.399999999999999">
      <c r="A1842" s="207"/>
      <c r="B1842" s="208"/>
      <c r="C1842" s="212"/>
      <c r="D1842" s="270"/>
      <c r="E1842" s="208"/>
      <c r="F1842" s="208"/>
      <c r="G1842" s="208"/>
      <c r="H1842" s="209"/>
      <c r="I1842" s="210"/>
      <c r="J1842" s="210"/>
      <c r="K1842" s="260"/>
      <c r="L1842" s="260"/>
      <c r="M1842" s="260"/>
      <c r="N1842" s="260"/>
      <c r="O1842" s="260"/>
      <c r="P1842" s="211"/>
      <c r="Q1842" s="261"/>
      <c r="R1842" s="208" t="str">
        <f ca="1">IF(ISERROR($V1842),"",OFFSET('Smelter Look-up'!$C$4,$V1842-4,0)&amp;"")</f>
        <v/>
      </c>
      <c r="S1842" s="215" t="str">
        <f t="shared" ca="1" si="258"/>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si="259"/>
        <v>0</v>
      </c>
      <c r="Y1842" s="263"/>
      <c r="Z1842" s="263"/>
      <c r="AB1842" s="265" t="str">
        <f t="shared" si="260"/>
        <v/>
      </c>
    </row>
    <row r="1843" spans="1:28" s="264" customFormat="1" ht="20.399999999999999">
      <c r="A1843" s="207"/>
      <c r="B1843" s="208"/>
      <c r="C1843" s="212"/>
      <c r="D1843" s="270"/>
      <c r="E1843" s="208"/>
      <c r="F1843" s="208"/>
      <c r="G1843" s="208"/>
      <c r="H1843" s="209"/>
      <c r="I1843" s="210"/>
      <c r="J1843" s="210"/>
      <c r="K1843" s="260"/>
      <c r="L1843" s="260"/>
      <c r="M1843" s="260"/>
      <c r="N1843" s="260"/>
      <c r="O1843" s="260"/>
      <c r="P1843" s="211"/>
      <c r="Q1843" s="261"/>
      <c r="R1843" s="208" t="str">
        <f ca="1">IF(ISERROR($V1843),"",OFFSET('Smelter Look-up'!$C$4,$V1843-4,0)&amp;"")</f>
        <v/>
      </c>
      <c r="S1843" s="215" t="str">
        <f t="shared" ca="1" si="258"/>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si="259"/>
        <v>0</v>
      </c>
      <c r="Y1843" s="263"/>
      <c r="Z1843" s="263"/>
      <c r="AB1843" s="265" t="str">
        <f t="shared" si="260"/>
        <v/>
      </c>
    </row>
    <row r="1844" spans="1:28" s="264" customFormat="1" ht="20.399999999999999">
      <c r="A1844" s="207"/>
      <c r="B1844" s="208"/>
      <c r="C1844" s="212"/>
      <c r="D1844" s="270"/>
      <c r="E1844" s="208"/>
      <c r="F1844" s="208"/>
      <c r="G1844" s="208"/>
      <c r="H1844" s="209"/>
      <c r="I1844" s="210"/>
      <c r="J1844" s="210"/>
      <c r="K1844" s="260"/>
      <c r="L1844" s="260"/>
      <c r="M1844" s="260"/>
      <c r="N1844" s="260"/>
      <c r="O1844" s="260"/>
      <c r="P1844" s="211"/>
      <c r="Q1844" s="261"/>
      <c r="R1844" s="208" t="str">
        <f ca="1">IF(ISERROR($V1844),"",OFFSET('Smelter Look-up'!$C$4,$V1844-4,0)&amp;"")</f>
        <v/>
      </c>
      <c r="S1844" s="215" t="str">
        <f t="shared" ca="1" si="258"/>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si="259"/>
        <v>0</v>
      </c>
      <c r="Y1844" s="263"/>
      <c r="Z1844" s="263"/>
      <c r="AB1844" s="265" t="str">
        <f t="shared" si="260"/>
        <v/>
      </c>
    </row>
    <row r="1845" spans="1:28" s="264" customFormat="1" ht="20.399999999999999">
      <c r="A1845" s="207"/>
      <c r="B1845" s="208"/>
      <c r="C1845" s="212"/>
      <c r="D1845" s="270"/>
      <c r="E1845" s="208"/>
      <c r="F1845" s="208"/>
      <c r="G1845" s="208"/>
      <c r="H1845" s="209"/>
      <c r="I1845" s="210"/>
      <c r="J1845" s="210"/>
      <c r="K1845" s="260"/>
      <c r="L1845" s="260"/>
      <c r="M1845" s="260"/>
      <c r="N1845" s="260"/>
      <c r="O1845" s="260"/>
      <c r="P1845" s="211"/>
      <c r="Q1845" s="261"/>
      <c r="R1845" s="208" t="str">
        <f ca="1">IF(ISERROR($V1845),"",OFFSET('Smelter Look-up'!$C$4,$V1845-4,0)&amp;"")</f>
        <v/>
      </c>
      <c r="S1845" s="215" t="str">
        <f t="shared" ca="1" si="258"/>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si="259"/>
        <v>0</v>
      </c>
      <c r="Y1845" s="263"/>
      <c r="Z1845" s="263"/>
      <c r="AB1845" s="265" t="str">
        <f t="shared" si="260"/>
        <v/>
      </c>
    </row>
    <row r="1846" spans="1:28" s="264" customFormat="1" ht="20.399999999999999">
      <c r="A1846" s="207"/>
      <c r="B1846" s="208"/>
      <c r="C1846" s="212"/>
      <c r="D1846" s="270"/>
      <c r="E1846" s="208"/>
      <c r="F1846" s="208"/>
      <c r="G1846" s="208"/>
      <c r="H1846" s="209"/>
      <c r="I1846" s="210"/>
      <c r="J1846" s="210"/>
      <c r="K1846" s="260"/>
      <c r="L1846" s="260"/>
      <c r="M1846" s="260"/>
      <c r="N1846" s="260"/>
      <c r="O1846" s="260"/>
      <c r="P1846" s="211"/>
      <c r="Q1846" s="261"/>
      <c r="R1846" s="208" t="str">
        <f ca="1">IF(ISERROR($V1846),"",OFFSET('Smelter Look-up'!$C$4,$V1846-4,0)&amp;"")</f>
        <v/>
      </c>
      <c r="S1846" s="215" t="str">
        <f t="shared" ca="1" si="258"/>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si="259"/>
        <v>0</v>
      </c>
      <c r="Y1846" s="263"/>
      <c r="Z1846" s="263"/>
      <c r="AB1846" s="265" t="str">
        <f t="shared" si="260"/>
        <v/>
      </c>
    </row>
    <row r="1847" spans="1:28" s="264" customFormat="1" ht="20.399999999999999">
      <c r="A1847" s="207"/>
      <c r="B1847" s="208"/>
      <c r="C1847" s="212"/>
      <c r="D1847" s="270"/>
      <c r="E1847" s="208"/>
      <c r="F1847" s="208"/>
      <c r="G1847" s="208"/>
      <c r="H1847" s="209"/>
      <c r="I1847" s="210"/>
      <c r="J1847" s="210"/>
      <c r="K1847" s="260"/>
      <c r="L1847" s="260"/>
      <c r="M1847" s="260"/>
      <c r="N1847" s="260"/>
      <c r="O1847" s="260"/>
      <c r="P1847" s="211"/>
      <c r="Q1847" s="261"/>
      <c r="R1847" s="208" t="str">
        <f ca="1">IF(ISERROR($V1847),"",OFFSET('Smelter Look-up'!$C$4,$V1847-4,0)&amp;"")</f>
        <v/>
      </c>
      <c r="S1847" s="215" t="str">
        <f t="shared" ca="1" si="258"/>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si="259"/>
        <v>0</v>
      </c>
      <c r="Y1847" s="263"/>
      <c r="Z1847" s="263"/>
      <c r="AB1847" s="265" t="str">
        <f t="shared" si="260"/>
        <v/>
      </c>
    </row>
    <row r="1848" spans="1:28" s="264" customFormat="1" ht="20.399999999999999">
      <c r="A1848" s="207"/>
      <c r="B1848" s="208"/>
      <c r="C1848" s="212"/>
      <c r="D1848" s="270"/>
      <c r="E1848" s="208"/>
      <c r="F1848" s="208"/>
      <c r="G1848" s="208"/>
      <c r="H1848" s="209"/>
      <c r="I1848" s="210"/>
      <c r="J1848" s="210"/>
      <c r="K1848" s="260"/>
      <c r="L1848" s="260"/>
      <c r="M1848" s="260"/>
      <c r="N1848" s="260"/>
      <c r="O1848" s="260"/>
      <c r="P1848" s="211"/>
      <c r="Q1848" s="261"/>
      <c r="R1848" s="208" t="str">
        <f ca="1">IF(ISERROR($V1848),"",OFFSET('Smelter Look-up'!$C$4,$V1848-4,0)&amp;"")</f>
        <v/>
      </c>
      <c r="S1848" s="215" t="str">
        <f t="shared" ca="1" si="258"/>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si="259"/>
        <v>0</v>
      </c>
      <c r="Y1848" s="263"/>
      <c r="Z1848" s="263"/>
      <c r="AB1848" s="265" t="str">
        <f t="shared" si="260"/>
        <v/>
      </c>
    </row>
    <row r="1849" spans="1:28" s="264" customFormat="1" ht="20.399999999999999">
      <c r="A1849" s="207"/>
      <c r="B1849" s="208"/>
      <c r="C1849" s="212"/>
      <c r="D1849" s="270"/>
      <c r="E1849" s="208"/>
      <c r="F1849" s="208"/>
      <c r="G1849" s="208"/>
      <c r="H1849" s="209"/>
      <c r="I1849" s="210"/>
      <c r="J1849" s="210"/>
      <c r="K1849" s="260"/>
      <c r="L1849" s="260"/>
      <c r="M1849" s="260"/>
      <c r="N1849" s="260"/>
      <c r="O1849" s="260"/>
      <c r="P1849" s="211"/>
      <c r="Q1849" s="261"/>
      <c r="R1849" s="208" t="str">
        <f ca="1">IF(ISERROR($V1849),"",OFFSET('Smelter Look-up'!$C$4,$V1849-4,0)&amp;"")</f>
        <v/>
      </c>
      <c r="S1849" s="215" t="str">
        <f t="shared" ca="1" si="258"/>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si="259"/>
        <v>0</v>
      </c>
      <c r="Y1849" s="263"/>
      <c r="Z1849" s="263"/>
      <c r="AB1849" s="265" t="str">
        <f t="shared" si="260"/>
        <v/>
      </c>
    </row>
    <row r="1850" spans="1:28" s="264" customFormat="1" ht="20.399999999999999">
      <c r="A1850" s="207"/>
      <c r="B1850" s="208"/>
      <c r="C1850" s="212"/>
      <c r="D1850" s="270"/>
      <c r="E1850" s="208"/>
      <c r="F1850" s="208"/>
      <c r="G1850" s="208"/>
      <c r="H1850" s="209"/>
      <c r="I1850" s="210"/>
      <c r="J1850" s="210"/>
      <c r="K1850" s="260"/>
      <c r="L1850" s="260"/>
      <c r="M1850" s="260"/>
      <c r="N1850" s="260"/>
      <c r="O1850" s="260"/>
      <c r="P1850" s="211"/>
      <c r="Q1850" s="261"/>
      <c r="R1850" s="208" t="str">
        <f ca="1">IF(ISERROR($V1850),"",OFFSET('Smelter Look-up'!$C$4,$V1850-4,0)&amp;"")</f>
        <v/>
      </c>
      <c r="S1850" s="215" t="str">
        <f t="shared" ca="1" si="258"/>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si="259"/>
        <v>0</v>
      </c>
      <c r="Y1850" s="263"/>
      <c r="Z1850" s="263"/>
      <c r="AB1850" s="265" t="str">
        <f t="shared" si="260"/>
        <v/>
      </c>
    </row>
    <row r="1851" spans="1:28" s="264" customFormat="1" ht="20.399999999999999">
      <c r="A1851" s="207"/>
      <c r="B1851" s="208"/>
      <c r="C1851" s="212"/>
      <c r="D1851" s="270"/>
      <c r="E1851" s="208"/>
      <c r="F1851" s="208"/>
      <c r="G1851" s="208"/>
      <c r="H1851" s="209"/>
      <c r="I1851" s="210"/>
      <c r="J1851" s="210"/>
      <c r="K1851" s="260"/>
      <c r="L1851" s="260"/>
      <c r="M1851" s="260"/>
      <c r="N1851" s="260"/>
      <c r="O1851" s="260"/>
      <c r="P1851" s="211"/>
      <c r="Q1851" s="261"/>
      <c r="R1851" s="208" t="str">
        <f ca="1">IF(ISERROR($V1851),"",OFFSET('Smelter Look-up'!$C$4,$V1851-4,0)&amp;"")</f>
        <v/>
      </c>
      <c r="S1851" s="215" t="str">
        <f t="shared" ref="S1851" ca="1" si="261">IF(B1851="","",IF(ISERROR(MATCH($E1851,CL,0)),"Unknown",INDIRECT("'C'!$A$"&amp;MATCH($E1851,CL,0)+1)))</f>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ref="X1851" si="262">IF(AND(C1851="Smelter not listed",OR(LEN(D1851)=0,LEN(E1851)=0)),1,0)</f>
        <v>0</v>
      </c>
      <c r="Y1851" s="263"/>
      <c r="Z1851" s="263"/>
      <c r="AB1851" s="265" t="str">
        <f t="shared" ref="AB1851" si="263">B1851&amp;C1851</f>
        <v/>
      </c>
    </row>
    <row r="1852" spans="1:28" s="264" customFormat="1" ht="20.399999999999999">
      <c r="A1852" s="207"/>
      <c r="B1852" s="208"/>
      <c r="C1852" s="212"/>
      <c r="D1852" s="270"/>
      <c r="E1852" s="208"/>
      <c r="F1852" s="208"/>
      <c r="G1852" s="208"/>
      <c r="H1852" s="209"/>
      <c r="I1852" s="210"/>
      <c r="J1852" s="210"/>
      <c r="K1852" s="260"/>
      <c r="L1852" s="260"/>
      <c r="M1852" s="260"/>
      <c r="N1852" s="260"/>
      <c r="O1852" s="260"/>
      <c r="P1852" s="211"/>
      <c r="Q1852" s="261"/>
      <c r="R1852" s="208" t="str">
        <f ca="1">IF(ISERROR($V1852),"",OFFSET('Smelter Look-up'!$C$4,$V1852-4,0)&amp;"")</f>
        <v/>
      </c>
      <c r="S1852" s="215" t="str">
        <f t="shared" ref="S1852:S1883" ca="1" si="264">IF(B1852="","",IF(ISERROR(MATCH($E1852,CL,0)),"Unknown",INDIRECT("'C'!$A$"&amp;MATCH($E1852,CL,0)+1)))</f>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ref="X1852:X1883" si="265">IF(AND(C1852="Smelter not listed",OR(LEN(D1852)=0,LEN(E1852)=0)),1,0)</f>
        <v>0</v>
      </c>
      <c r="Y1852" s="263"/>
      <c r="Z1852" s="263"/>
      <c r="AB1852" s="265" t="str">
        <f t="shared" ref="AB1852:AB1883" si="266">B1852&amp;C1852</f>
        <v/>
      </c>
    </row>
    <row r="1853" spans="1:28" s="264" customFormat="1" ht="20.399999999999999">
      <c r="A1853" s="207"/>
      <c r="B1853" s="208"/>
      <c r="C1853" s="212"/>
      <c r="D1853" s="270"/>
      <c r="E1853" s="208"/>
      <c r="F1853" s="208"/>
      <c r="G1853" s="208"/>
      <c r="H1853" s="209"/>
      <c r="I1853" s="210"/>
      <c r="J1853" s="210"/>
      <c r="K1853" s="260"/>
      <c r="L1853" s="260"/>
      <c r="M1853" s="260"/>
      <c r="N1853" s="260"/>
      <c r="O1853" s="260"/>
      <c r="P1853" s="211"/>
      <c r="Q1853" s="261"/>
      <c r="R1853" s="208" t="str">
        <f ca="1">IF(ISERROR($V1853),"",OFFSET('Smelter Look-up'!$C$4,$V1853-4,0)&amp;"")</f>
        <v/>
      </c>
      <c r="S1853" s="215" t="str">
        <f t="shared" ca="1" si="264"/>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si="265"/>
        <v>0</v>
      </c>
      <c r="Y1853" s="263"/>
      <c r="Z1853" s="263"/>
      <c r="AB1853" s="265" t="str">
        <f t="shared" si="266"/>
        <v/>
      </c>
    </row>
    <row r="1854" spans="1:28" s="264" customFormat="1" ht="20.399999999999999">
      <c r="A1854" s="207"/>
      <c r="B1854" s="208"/>
      <c r="C1854" s="212"/>
      <c r="D1854" s="270"/>
      <c r="E1854" s="208"/>
      <c r="F1854" s="208"/>
      <c r="G1854" s="208"/>
      <c r="H1854" s="209"/>
      <c r="I1854" s="210"/>
      <c r="J1854" s="210"/>
      <c r="K1854" s="260"/>
      <c r="L1854" s="260"/>
      <c r="M1854" s="260"/>
      <c r="N1854" s="260"/>
      <c r="O1854" s="260"/>
      <c r="P1854" s="211"/>
      <c r="Q1854" s="261"/>
      <c r="R1854" s="208" t="str">
        <f ca="1">IF(ISERROR($V1854),"",OFFSET('Smelter Look-up'!$C$4,$V1854-4,0)&amp;"")</f>
        <v/>
      </c>
      <c r="S1854" s="215" t="str">
        <f t="shared" ca="1" si="264"/>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si="265"/>
        <v>0</v>
      </c>
      <c r="Y1854" s="263"/>
      <c r="Z1854" s="263"/>
      <c r="AB1854" s="265" t="str">
        <f t="shared" si="266"/>
        <v/>
      </c>
    </row>
    <row r="1855" spans="1:28" s="264" customFormat="1" ht="20.399999999999999">
      <c r="A1855" s="207"/>
      <c r="B1855" s="208"/>
      <c r="C1855" s="212"/>
      <c r="D1855" s="270"/>
      <c r="E1855" s="208"/>
      <c r="F1855" s="208"/>
      <c r="G1855" s="208"/>
      <c r="H1855" s="209"/>
      <c r="I1855" s="210"/>
      <c r="J1855" s="210"/>
      <c r="K1855" s="260"/>
      <c r="L1855" s="260"/>
      <c r="M1855" s="260"/>
      <c r="N1855" s="260"/>
      <c r="O1855" s="260"/>
      <c r="P1855" s="211"/>
      <c r="Q1855" s="261"/>
      <c r="R1855" s="208" t="str">
        <f ca="1">IF(ISERROR($V1855),"",OFFSET('Smelter Look-up'!$C$4,$V1855-4,0)&amp;"")</f>
        <v/>
      </c>
      <c r="S1855" s="215" t="str">
        <f t="shared" ca="1" si="264"/>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si="265"/>
        <v>0</v>
      </c>
      <c r="Y1855" s="263"/>
      <c r="Z1855" s="263"/>
      <c r="AB1855" s="265" t="str">
        <f t="shared" si="266"/>
        <v/>
      </c>
    </row>
    <row r="1856" spans="1:28" s="264" customFormat="1" ht="20.399999999999999">
      <c r="A1856" s="207"/>
      <c r="B1856" s="208"/>
      <c r="C1856" s="212"/>
      <c r="D1856" s="270"/>
      <c r="E1856" s="208"/>
      <c r="F1856" s="208"/>
      <c r="G1856" s="208"/>
      <c r="H1856" s="209"/>
      <c r="I1856" s="210"/>
      <c r="J1856" s="210"/>
      <c r="K1856" s="260"/>
      <c r="L1856" s="260"/>
      <c r="M1856" s="260"/>
      <c r="N1856" s="260"/>
      <c r="O1856" s="260"/>
      <c r="P1856" s="211"/>
      <c r="Q1856" s="261"/>
      <c r="R1856" s="208" t="str">
        <f ca="1">IF(ISERROR($V1856),"",OFFSET('Smelter Look-up'!$C$4,$V1856-4,0)&amp;"")</f>
        <v/>
      </c>
      <c r="S1856" s="215" t="str">
        <f t="shared" ca="1" si="264"/>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si="265"/>
        <v>0</v>
      </c>
      <c r="Y1856" s="263"/>
      <c r="Z1856" s="263"/>
      <c r="AB1856" s="265" t="str">
        <f t="shared" si="266"/>
        <v/>
      </c>
    </row>
    <row r="1857" spans="1:28" s="264" customFormat="1" ht="20.399999999999999">
      <c r="A1857" s="207"/>
      <c r="B1857" s="208"/>
      <c r="C1857" s="212"/>
      <c r="D1857" s="270"/>
      <c r="E1857" s="208"/>
      <c r="F1857" s="208"/>
      <c r="G1857" s="208"/>
      <c r="H1857" s="209"/>
      <c r="I1857" s="210"/>
      <c r="J1857" s="210"/>
      <c r="K1857" s="260"/>
      <c r="L1857" s="260"/>
      <c r="M1857" s="260"/>
      <c r="N1857" s="260"/>
      <c r="O1857" s="260"/>
      <c r="P1857" s="211"/>
      <c r="Q1857" s="261"/>
      <c r="R1857" s="208" t="str">
        <f ca="1">IF(ISERROR($V1857),"",OFFSET('Smelter Look-up'!$C$4,$V1857-4,0)&amp;"")</f>
        <v/>
      </c>
      <c r="S1857" s="215" t="str">
        <f t="shared" ca="1" si="264"/>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si="265"/>
        <v>0</v>
      </c>
      <c r="Y1857" s="263"/>
      <c r="Z1857" s="263"/>
      <c r="AB1857" s="265" t="str">
        <f t="shared" si="266"/>
        <v/>
      </c>
    </row>
    <row r="1858" spans="1:28" s="264" customFormat="1" ht="20.399999999999999">
      <c r="A1858" s="207"/>
      <c r="B1858" s="208"/>
      <c r="C1858" s="212"/>
      <c r="D1858" s="270"/>
      <c r="E1858" s="208"/>
      <c r="F1858" s="208"/>
      <c r="G1858" s="208"/>
      <c r="H1858" s="209"/>
      <c r="I1858" s="210"/>
      <c r="J1858" s="210"/>
      <c r="K1858" s="260"/>
      <c r="L1858" s="260"/>
      <c r="M1858" s="260"/>
      <c r="N1858" s="260"/>
      <c r="O1858" s="260"/>
      <c r="P1858" s="211"/>
      <c r="Q1858" s="261"/>
      <c r="R1858" s="208" t="str">
        <f ca="1">IF(ISERROR($V1858),"",OFFSET('Smelter Look-up'!$C$4,$V1858-4,0)&amp;"")</f>
        <v/>
      </c>
      <c r="S1858" s="215" t="str">
        <f t="shared" ca="1" si="264"/>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si="265"/>
        <v>0</v>
      </c>
      <c r="Y1858" s="263"/>
      <c r="Z1858" s="263"/>
      <c r="AB1858" s="265" t="str">
        <f t="shared" si="266"/>
        <v/>
      </c>
    </row>
    <row r="1859" spans="1:28" s="264" customFormat="1" ht="20.399999999999999">
      <c r="A1859" s="207"/>
      <c r="B1859" s="208"/>
      <c r="C1859" s="212"/>
      <c r="D1859" s="270"/>
      <c r="E1859" s="208"/>
      <c r="F1859" s="208"/>
      <c r="G1859" s="208"/>
      <c r="H1859" s="209"/>
      <c r="I1859" s="210"/>
      <c r="J1859" s="210"/>
      <c r="K1859" s="260"/>
      <c r="L1859" s="260"/>
      <c r="M1859" s="260"/>
      <c r="N1859" s="260"/>
      <c r="O1859" s="260"/>
      <c r="P1859" s="211"/>
      <c r="Q1859" s="261"/>
      <c r="R1859" s="208" t="str">
        <f ca="1">IF(ISERROR($V1859),"",OFFSET('Smelter Look-up'!$C$4,$V1859-4,0)&amp;"")</f>
        <v/>
      </c>
      <c r="S1859" s="215" t="str">
        <f t="shared" ca="1" si="264"/>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si="265"/>
        <v>0</v>
      </c>
      <c r="Y1859" s="263"/>
      <c r="Z1859" s="263"/>
      <c r="AB1859" s="265" t="str">
        <f t="shared" si="266"/>
        <v/>
      </c>
    </row>
    <row r="1860" spans="1:28" s="264" customFormat="1" ht="20.399999999999999">
      <c r="A1860" s="207"/>
      <c r="B1860" s="208"/>
      <c r="C1860" s="212"/>
      <c r="D1860" s="270"/>
      <c r="E1860" s="208"/>
      <c r="F1860" s="208"/>
      <c r="G1860" s="208"/>
      <c r="H1860" s="209"/>
      <c r="I1860" s="210"/>
      <c r="J1860" s="210"/>
      <c r="K1860" s="260"/>
      <c r="L1860" s="260"/>
      <c r="M1860" s="260"/>
      <c r="N1860" s="260"/>
      <c r="O1860" s="260"/>
      <c r="P1860" s="211"/>
      <c r="Q1860" s="261"/>
      <c r="R1860" s="208" t="str">
        <f ca="1">IF(ISERROR($V1860),"",OFFSET('Smelter Look-up'!$C$4,$V1860-4,0)&amp;"")</f>
        <v/>
      </c>
      <c r="S1860" s="215" t="str">
        <f t="shared" ca="1" si="264"/>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si="265"/>
        <v>0</v>
      </c>
      <c r="Y1860" s="263"/>
      <c r="Z1860" s="263"/>
      <c r="AB1860" s="265" t="str">
        <f t="shared" si="266"/>
        <v/>
      </c>
    </row>
    <row r="1861" spans="1:28" s="264" customFormat="1" ht="20.399999999999999">
      <c r="A1861" s="207"/>
      <c r="B1861" s="208"/>
      <c r="C1861" s="212"/>
      <c r="D1861" s="270"/>
      <c r="E1861" s="208"/>
      <c r="F1861" s="208"/>
      <c r="G1861" s="208"/>
      <c r="H1861" s="209"/>
      <c r="I1861" s="210"/>
      <c r="J1861" s="210"/>
      <c r="K1861" s="260"/>
      <c r="L1861" s="260"/>
      <c r="M1861" s="260"/>
      <c r="N1861" s="260"/>
      <c r="O1861" s="260"/>
      <c r="P1861" s="211"/>
      <c r="Q1861" s="261"/>
      <c r="R1861" s="208" t="str">
        <f ca="1">IF(ISERROR($V1861),"",OFFSET('Smelter Look-up'!$C$4,$V1861-4,0)&amp;"")</f>
        <v/>
      </c>
      <c r="S1861" s="215" t="str">
        <f t="shared" ca="1" si="264"/>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si="265"/>
        <v>0</v>
      </c>
      <c r="Y1861" s="263"/>
      <c r="Z1861" s="263"/>
      <c r="AB1861" s="265" t="str">
        <f t="shared" si="266"/>
        <v/>
      </c>
    </row>
    <row r="1862" spans="1:28" s="264" customFormat="1" ht="20.399999999999999">
      <c r="A1862" s="207"/>
      <c r="B1862" s="208"/>
      <c r="C1862" s="212"/>
      <c r="D1862" s="270"/>
      <c r="E1862" s="208"/>
      <c r="F1862" s="208"/>
      <c r="G1862" s="208"/>
      <c r="H1862" s="209"/>
      <c r="I1862" s="210"/>
      <c r="J1862" s="210"/>
      <c r="K1862" s="260"/>
      <c r="L1862" s="260"/>
      <c r="M1862" s="260"/>
      <c r="N1862" s="260"/>
      <c r="O1862" s="260"/>
      <c r="P1862" s="211"/>
      <c r="Q1862" s="261"/>
      <c r="R1862" s="208" t="str">
        <f ca="1">IF(ISERROR($V1862),"",OFFSET('Smelter Look-up'!$C$4,$V1862-4,0)&amp;"")</f>
        <v/>
      </c>
      <c r="S1862" s="215" t="str">
        <f t="shared" ca="1" si="264"/>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si="265"/>
        <v>0</v>
      </c>
      <c r="Y1862" s="263"/>
      <c r="Z1862" s="263"/>
      <c r="AB1862" s="265" t="str">
        <f t="shared" si="266"/>
        <v/>
      </c>
    </row>
    <row r="1863" spans="1:28" s="264" customFormat="1" ht="20.399999999999999">
      <c r="A1863" s="207"/>
      <c r="B1863" s="208"/>
      <c r="C1863" s="212"/>
      <c r="D1863" s="270"/>
      <c r="E1863" s="208"/>
      <c r="F1863" s="208"/>
      <c r="G1863" s="208"/>
      <c r="H1863" s="209"/>
      <c r="I1863" s="210"/>
      <c r="J1863" s="210"/>
      <c r="K1863" s="260"/>
      <c r="L1863" s="260"/>
      <c r="M1863" s="260"/>
      <c r="N1863" s="260"/>
      <c r="O1863" s="260"/>
      <c r="P1863" s="211"/>
      <c r="Q1863" s="261"/>
      <c r="R1863" s="208" t="str">
        <f ca="1">IF(ISERROR($V1863),"",OFFSET('Smelter Look-up'!$C$4,$V1863-4,0)&amp;"")</f>
        <v/>
      </c>
      <c r="S1863" s="215" t="str">
        <f t="shared" ca="1" si="264"/>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si="265"/>
        <v>0</v>
      </c>
      <c r="Y1863" s="263"/>
      <c r="Z1863" s="263"/>
      <c r="AB1863" s="265" t="str">
        <f t="shared" si="266"/>
        <v/>
      </c>
    </row>
    <row r="1864" spans="1:28" s="264" customFormat="1" ht="20.399999999999999">
      <c r="A1864" s="207"/>
      <c r="B1864" s="208"/>
      <c r="C1864" s="212"/>
      <c r="D1864" s="270"/>
      <c r="E1864" s="208"/>
      <c r="F1864" s="208"/>
      <c r="G1864" s="208"/>
      <c r="H1864" s="209"/>
      <c r="I1864" s="210"/>
      <c r="J1864" s="210"/>
      <c r="K1864" s="260"/>
      <c r="L1864" s="260"/>
      <c r="M1864" s="260"/>
      <c r="N1864" s="260"/>
      <c r="O1864" s="260"/>
      <c r="P1864" s="211"/>
      <c r="Q1864" s="261"/>
      <c r="R1864" s="208" t="str">
        <f ca="1">IF(ISERROR($V1864),"",OFFSET('Smelter Look-up'!$C$4,$V1864-4,0)&amp;"")</f>
        <v/>
      </c>
      <c r="S1864" s="215" t="str">
        <f t="shared" ca="1" si="264"/>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si="265"/>
        <v>0</v>
      </c>
      <c r="Y1864" s="263"/>
      <c r="Z1864" s="263"/>
      <c r="AB1864" s="265" t="str">
        <f t="shared" si="266"/>
        <v/>
      </c>
    </row>
    <row r="1865" spans="1:28" s="264" customFormat="1" ht="20.399999999999999">
      <c r="A1865" s="207"/>
      <c r="B1865" s="208"/>
      <c r="C1865" s="212"/>
      <c r="D1865" s="270"/>
      <c r="E1865" s="208"/>
      <c r="F1865" s="208"/>
      <c r="G1865" s="208"/>
      <c r="H1865" s="209"/>
      <c r="I1865" s="210"/>
      <c r="J1865" s="210"/>
      <c r="K1865" s="260"/>
      <c r="L1865" s="260"/>
      <c r="M1865" s="260"/>
      <c r="N1865" s="260"/>
      <c r="O1865" s="260"/>
      <c r="P1865" s="211"/>
      <c r="Q1865" s="261"/>
      <c r="R1865" s="208" t="str">
        <f ca="1">IF(ISERROR($V1865),"",OFFSET('Smelter Look-up'!$C$4,$V1865-4,0)&amp;"")</f>
        <v/>
      </c>
      <c r="S1865" s="215" t="str">
        <f t="shared" ca="1" si="264"/>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si="265"/>
        <v>0</v>
      </c>
      <c r="Y1865" s="263"/>
      <c r="Z1865" s="263"/>
      <c r="AB1865" s="265" t="str">
        <f t="shared" si="266"/>
        <v/>
      </c>
    </row>
    <row r="1866" spans="1:28" s="264" customFormat="1" ht="20.399999999999999">
      <c r="A1866" s="207"/>
      <c r="B1866" s="208"/>
      <c r="C1866" s="212"/>
      <c r="D1866" s="270"/>
      <c r="E1866" s="208"/>
      <c r="F1866" s="208"/>
      <c r="G1866" s="208"/>
      <c r="H1866" s="209"/>
      <c r="I1866" s="210"/>
      <c r="J1866" s="210"/>
      <c r="K1866" s="260"/>
      <c r="L1866" s="260"/>
      <c r="M1866" s="260"/>
      <c r="N1866" s="260"/>
      <c r="O1866" s="260"/>
      <c r="P1866" s="211"/>
      <c r="Q1866" s="261"/>
      <c r="R1866" s="208" t="str">
        <f ca="1">IF(ISERROR($V1866),"",OFFSET('Smelter Look-up'!$C$4,$V1866-4,0)&amp;"")</f>
        <v/>
      </c>
      <c r="S1866" s="215" t="str">
        <f t="shared" ca="1" si="264"/>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si="265"/>
        <v>0</v>
      </c>
      <c r="Y1866" s="263"/>
      <c r="Z1866" s="263"/>
      <c r="AB1866" s="265" t="str">
        <f t="shared" si="266"/>
        <v/>
      </c>
    </row>
    <row r="1867" spans="1:28" s="264" customFormat="1" ht="20.399999999999999">
      <c r="A1867" s="207"/>
      <c r="B1867" s="208"/>
      <c r="C1867" s="212"/>
      <c r="D1867" s="270"/>
      <c r="E1867" s="208"/>
      <c r="F1867" s="208"/>
      <c r="G1867" s="208"/>
      <c r="H1867" s="209"/>
      <c r="I1867" s="210"/>
      <c r="J1867" s="210"/>
      <c r="K1867" s="260"/>
      <c r="L1867" s="260"/>
      <c r="M1867" s="260"/>
      <c r="N1867" s="260"/>
      <c r="O1867" s="260"/>
      <c r="P1867" s="211"/>
      <c r="Q1867" s="261"/>
      <c r="R1867" s="208" t="str">
        <f ca="1">IF(ISERROR($V1867),"",OFFSET('Smelter Look-up'!$C$4,$V1867-4,0)&amp;"")</f>
        <v/>
      </c>
      <c r="S1867" s="215" t="str">
        <f t="shared" ca="1" si="264"/>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si="265"/>
        <v>0</v>
      </c>
      <c r="Y1867" s="263"/>
      <c r="Z1867" s="263"/>
      <c r="AB1867" s="265" t="str">
        <f t="shared" si="266"/>
        <v/>
      </c>
    </row>
    <row r="1868" spans="1:28" s="264" customFormat="1" ht="20.399999999999999">
      <c r="A1868" s="207"/>
      <c r="B1868" s="208"/>
      <c r="C1868" s="212"/>
      <c r="D1868" s="270"/>
      <c r="E1868" s="208"/>
      <c r="F1868" s="208"/>
      <c r="G1868" s="208"/>
      <c r="H1868" s="209"/>
      <c r="I1868" s="210"/>
      <c r="J1868" s="210"/>
      <c r="K1868" s="260"/>
      <c r="L1868" s="260"/>
      <c r="M1868" s="260"/>
      <c r="N1868" s="260"/>
      <c r="O1868" s="260"/>
      <c r="P1868" s="211"/>
      <c r="Q1868" s="261"/>
      <c r="R1868" s="208" t="str">
        <f ca="1">IF(ISERROR($V1868),"",OFFSET('Smelter Look-up'!$C$4,$V1868-4,0)&amp;"")</f>
        <v/>
      </c>
      <c r="S1868" s="215" t="str">
        <f t="shared" ca="1" si="264"/>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si="265"/>
        <v>0</v>
      </c>
      <c r="Y1868" s="263"/>
      <c r="Z1868" s="263"/>
      <c r="AB1868" s="265" t="str">
        <f t="shared" si="266"/>
        <v/>
      </c>
    </row>
    <row r="1869" spans="1:28" s="264" customFormat="1" ht="20.399999999999999">
      <c r="A1869" s="207"/>
      <c r="B1869" s="208"/>
      <c r="C1869" s="212"/>
      <c r="D1869" s="270"/>
      <c r="E1869" s="208"/>
      <c r="F1869" s="208"/>
      <c r="G1869" s="208"/>
      <c r="H1869" s="209"/>
      <c r="I1869" s="210"/>
      <c r="J1869" s="210"/>
      <c r="K1869" s="260"/>
      <c r="L1869" s="260"/>
      <c r="M1869" s="260"/>
      <c r="N1869" s="260"/>
      <c r="O1869" s="260"/>
      <c r="P1869" s="211"/>
      <c r="Q1869" s="261"/>
      <c r="R1869" s="208" t="str">
        <f ca="1">IF(ISERROR($V1869),"",OFFSET('Smelter Look-up'!$C$4,$V1869-4,0)&amp;"")</f>
        <v/>
      </c>
      <c r="S1869" s="215" t="str">
        <f t="shared" ca="1" si="264"/>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si="265"/>
        <v>0</v>
      </c>
      <c r="Y1869" s="263"/>
      <c r="Z1869" s="263"/>
      <c r="AB1869" s="265" t="str">
        <f t="shared" si="266"/>
        <v/>
      </c>
    </row>
    <row r="1870" spans="1:28" s="264" customFormat="1" ht="20.399999999999999">
      <c r="A1870" s="207"/>
      <c r="B1870" s="208"/>
      <c r="C1870" s="212"/>
      <c r="D1870" s="270"/>
      <c r="E1870" s="208"/>
      <c r="F1870" s="208"/>
      <c r="G1870" s="208"/>
      <c r="H1870" s="209"/>
      <c r="I1870" s="210"/>
      <c r="J1870" s="210"/>
      <c r="K1870" s="260"/>
      <c r="L1870" s="260"/>
      <c r="M1870" s="260"/>
      <c r="N1870" s="260"/>
      <c r="O1870" s="260"/>
      <c r="P1870" s="211"/>
      <c r="Q1870" s="261"/>
      <c r="R1870" s="208" t="str">
        <f ca="1">IF(ISERROR($V1870),"",OFFSET('Smelter Look-up'!$C$4,$V1870-4,0)&amp;"")</f>
        <v/>
      </c>
      <c r="S1870" s="215" t="str">
        <f t="shared" ca="1" si="264"/>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si="265"/>
        <v>0</v>
      </c>
      <c r="Y1870" s="263"/>
      <c r="Z1870" s="263"/>
      <c r="AB1870" s="265" t="str">
        <f t="shared" si="266"/>
        <v/>
      </c>
    </row>
    <row r="1871" spans="1:28" s="264" customFormat="1" ht="20.399999999999999">
      <c r="A1871" s="207"/>
      <c r="B1871" s="208"/>
      <c r="C1871" s="212"/>
      <c r="D1871" s="270"/>
      <c r="E1871" s="208"/>
      <c r="F1871" s="208"/>
      <c r="G1871" s="208"/>
      <c r="H1871" s="209"/>
      <c r="I1871" s="210"/>
      <c r="J1871" s="210"/>
      <c r="K1871" s="260"/>
      <c r="L1871" s="260"/>
      <c r="M1871" s="260"/>
      <c r="N1871" s="260"/>
      <c r="O1871" s="260"/>
      <c r="P1871" s="211"/>
      <c r="Q1871" s="261"/>
      <c r="R1871" s="208" t="str">
        <f ca="1">IF(ISERROR($V1871),"",OFFSET('Smelter Look-up'!$C$4,$V1871-4,0)&amp;"")</f>
        <v/>
      </c>
      <c r="S1871" s="215" t="str">
        <f t="shared" ca="1" si="264"/>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si="265"/>
        <v>0</v>
      </c>
      <c r="Y1871" s="263"/>
      <c r="Z1871" s="263"/>
      <c r="AB1871" s="265" t="str">
        <f t="shared" si="266"/>
        <v/>
      </c>
    </row>
    <row r="1872" spans="1:28" s="264" customFormat="1" ht="20.399999999999999">
      <c r="A1872" s="207"/>
      <c r="B1872" s="208"/>
      <c r="C1872" s="212"/>
      <c r="D1872" s="270"/>
      <c r="E1872" s="208"/>
      <c r="F1872" s="208"/>
      <c r="G1872" s="208"/>
      <c r="H1872" s="209"/>
      <c r="I1872" s="210"/>
      <c r="J1872" s="210"/>
      <c r="K1872" s="260"/>
      <c r="L1872" s="260"/>
      <c r="M1872" s="260"/>
      <c r="N1872" s="260"/>
      <c r="O1872" s="260"/>
      <c r="P1872" s="211"/>
      <c r="Q1872" s="261"/>
      <c r="R1872" s="208" t="str">
        <f ca="1">IF(ISERROR($V1872),"",OFFSET('Smelter Look-up'!$C$4,$V1872-4,0)&amp;"")</f>
        <v/>
      </c>
      <c r="S1872" s="215" t="str">
        <f t="shared" ca="1" si="264"/>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si="265"/>
        <v>0</v>
      </c>
      <c r="Y1872" s="263"/>
      <c r="Z1872" s="263"/>
      <c r="AB1872" s="265" t="str">
        <f t="shared" si="266"/>
        <v/>
      </c>
    </row>
    <row r="1873" spans="1:28" s="264" customFormat="1" ht="20.399999999999999">
      <c r="A1873" s="207"/>
      <c r="B1873" s="208"/>
      <c r="C1873" s="212"/>
      <c r="D1873" s="270"/>
      <c r="E1873" s="208"/>
      <c r="F1873" s="208"/>
      <c r="G1873" s="208"/>
      <c r="H1873" s="209"/>
      <c r="I1873" s="210"/>
      <c r="J1873" s="210"/>
      <c r="K1873" s="260"/>
      <c r="L1873" s="260"/>
      <c r="M1873" s="260"/>
      <c r="N1873" s="260"/>
      <c r="O1873" s="260"/>
      <c r="P1873" s="211"/>
      <c r="Q1873" s="261"/>
      <c r="R1873" s="208" t="str">
        <f ca="1">IF(ISERROR($V1873),"",OFFSET('Smelter Look-up'!$C$4,$V1873-4,0)&amp;"")</f>
        <v/>
      </c>
      <c r="S1873" s="215" t="str">
        <f t="shared" ca="1" si="264"/>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si="265"/>
        <v>0</v>
      </c>
      <c r="Y1873" s="263"/>
      <c r="Z1873" s="263"/>
      <c r="AB1873" s="265" t="str">
        <f t="shared" si="266"/>
        <v/>
      </c>
    </row>
    <row r="1874" spans="1:28" s="264" customFormat="1" ht="20.399999999999999">
      <c r="A1874" s="207"/>
      <c r="B1874" s="208"/>
      <c r="C1874" s="212"/>
      <c r="D1874" s="270"/>
      <c r="E1874" s="208"/>
      <c r="F1874" s="208"/>
      <c r="G1874" s="208"/>
      <c r="H1874" s="209"/>
      <c r="I1874" s="210"/>
      <c r="J1874" s="210"/>
      <c r="K1874" s="260"/>
      <c r="L1874" s="260"/>
      <c r="M1874" s="260"/>
      <c r="N1874" s="260"/>
      <c r="O1874" s="260"/>
      <c r="P1874" s="211"/>
      <c r="Q1874" s="261"/>
      <c r="R1874" s="208" t="str">
        <f ca="1">IF(ISERROR($V1874),"",OFFSET('Smelter Look-up'!$C$4,$V1874-4,0)&amp;"")</f>
        <v/>
      </c>
      <c r="S1874" s="215" t="str">
        <f t="shared" ca="1" si="264"/>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si="265"/>
        <v>0</v>
      </c>
      <c r="Y1874" s="263"/>
      <c r="Z1874" s="263"/>
      <c r="AB1874" s="265" t="str">
        <f t="shared" si="266"/>
        <v/>
      </c>
    </row>
    <row r="1875" spans="1:28" s="264" customFormat="1" ht="20.399999999999999">
      <c r="A1875" s="207"/>
      <c r="B1875" s="208"/>
      <c r="C1875" s="212"/>
      <c r="D1875" s="270"/>
      <c r="E1875" s="208"/>
      <c r="F1875" s="208"/>
      <c r="G1875" s="208"/>
      <c r="H1875" s="209"/>
      <c r="I1875" s="210"/>
      <c r="J1875" s="210"/>
      <c r="K1875" s="260"/>
      <c r="L1875" s="260"/>
      <c r="M1875" s="260"/>
      <c r="N1875" s="260"/>
      <c r="O1875" s="260"/>
      <c r="P1875" s="211"/>
      <c r="Q1875" s="261"/>
      <c r="R1875" s="208" t="str">
        <f ca="1">IF(ISERROR($V1875),"",OFFSET('Smelter Look-up'!$C$4,$V1875-4,0)&amp;"")</f>
        <v/>
      </c>
      <c r="S1875" s="215" t="str">
        <f t="shared" ca="1" si="264"/>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si="265"/>
        <v>0</v>
      </c>
      <c r="Y1875" s="263"/>
      <c r="Z1875" s="263"/>
      <c r="AB1875" s="265" t="str">
        <f t="shared" si="266"/>
        <v/>
      </c>
    </row>
    <row r="1876" spans="1:28" s="264" customFormat="1" ht="20.399999999999999">
      <c r="A1876" s="207"/>
      <c r="B1876" s="208"/>
      <c r="C1876" s="212"/>
      <c r="D1876" s="270"/>
      <c r="E1876" s="208"/>
      <c r="F1876" s="208"/>
      <c r="G1876" s="208"/>
      <c r="H1876" s="209"/>
      <c r="I1876" s="210"/>
      <c r="J1876" s="210"/>
      <c r="K1876" s="260"/>
      <c r="L1876" s="260"/>
      <c r="M1876" s="260"/>
      <c r="N1876" s="260"/>
      <c r="O1876" s="260"/>
      <c r="P1876" s="211"/>
      <c r="Q1876" s="261"/>
      <c r="R1876" s="208" t="str">
        <f ca="1">IF(ISERROR($V1876),"",OFFSET('Smelter Look-up'!$C$4,$V1876-4,0)&amp;"")</f>
        <v/>
      </c>
      <c r="S1876" s="215" t="str">
        <f t="shared" ca="1" si="264"/>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si="265"/>
        <v>0</v>
      </c>
      <c r="Y1876" s="263"/>
      <c r="Z1876" s="263"/>
      <c r="AB1876" s="265" t="str">
        <f t="shared" si="266"/>
        <v/>
      </c>
    </row>
    <row r="1877" spans="1:28" s="264" customFormat="1" ht="20.399999999999999">
      <c r="A1877" s="207"/>
      <c r="B1877" s="208"/>
      <c r="C1877" s="212"/>
      <c r="D1877" s="270"/>
      <c r="E1877" s="208"/>
      <c r="F1877" s="208"/>
      <c r="G1877" s="208"/>
      <c r="H1877" s="209"/>
      <c r="I1877" s="210"/>
      <c r="J1877" s="210"/>
      <c r="K1877" s="260"/>
      <c r="L1877" s="260"/>
      <c r="M1877" s="260"/>
      <c r="N1877" s="260"/>
      <c r="O1877" s="260"/>
      <c r="P1877" s="211"/>
      <c r="Q1877" s="261"/>
      <c r="R1877" s="208" t="str">
        <f ca="1">IF(ISERROR($V1877),"",OFFSET('Smelter Look-up'!$C$4,$V1877-4,0)&amp;"")</f>
        <v/>
      </c>
      <c r="S1877" s="215" t="str">
        <f t="shared" ca="1" si="264"/>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si="265"/>
        <v>0</v>
      </c>
      <c r="Y1877" s="263"/>
      <c r="Z1877" s="263"/>
      <c r="AB1877" s="265" t="str">
        <f t="shared" si="266"/>
        <v/>
      </c>
    </row>
    <row r="1878" spans="1:28" s="264" customFormat="1" ht="20.399999999999999">
      <c r="A1878" s="207"/>
      <c r="B1878" s="208"/>
      <c r="C1878" s="212"/>
      <c r="D1878" s="270"/>
      <c r="E1878" s="208"/>
      <c r="F1878" s="208"/>
      <c r="G1878" s="208"/>
      <c r="H1878" s="209"/>
      <c r="I1878" s="210"/>
      <c r="J1878" s="210"/>
      <c r="K1878" s="260"/>
      <c r="L1878" s="260"/>
      <c r="M1878" s="260"/>
      <c r="N1878" s="260"/>
      <c r="O1878" s="260"/>
      <c r="P1878" s="211"/>
      <c r="Q1878" s="261"/>
      <c r="R1878" s="208" t="str">
        <f ca="1">IF(ISERROR($V1878),"",OFFSET('Smelter Look-up'!$C$4,$V1878-4,0)&amp;"")</f>
        <v/>
      </c>
      <c r="S1878" s="215" t="str">
        <f t="shared" ca="1" si="264"/>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si="265"/>
        <v>0</v>
      </c>
      <c r="Y1878" s="263"/>
      <c r="Z1878" s="263"/>
      <c r="AB1878" s="265" t="str">
        <f t="shared" si="266"/>
        <v/>
      </c>
    </row>
    <row r="1879" spans="1:28" s="264" customFormat="1" ht="20.399999999999999">
      <c r="A1879" s="207"/>
      <c r="B1879" s="208"/>
      <c r="C1879" s="212"/>
      <c r="D1879" s="270"/>
      <c r="E1879" s="208"/>
      <c r="F1879" s="208"/>
      <c r="G1879" s="208"/>
      <c r="H1879" s="209"/>
      <c r="I1879" s="210"/>
      <c r="J1879" s="210"/>
      <c r="K1879" s="260"/>
      <c r="L1879" s="260"/>
      <c r="M1879" s="260"/>
      <c r="N1879" s="260"/>
      <c r="O1879" s="260"/>
      <c r="P1879" s="211"/>
      <c r="Q1879" s="261"/>
      <c r="R1879" s="208" t="str">
        <f ca="1">IF(ISERROR($V1879),"",OFFSET('Smelter Look-up'!$C$4,$V1879-4,0)&amp;"")</f>
        <v/>
      </c>
      <c r="S1879" s="215" t="str">
        <f t="shared" ca="1" si="264"/>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si="265"/>
        <v>0</v>
      </c>
      <c r="Y1879" s="263"/>
      <c r="Z1879" s="263"/>
      <c r="AB1879" s="265" t="str">
        <f t="shared" si="266"/>
        <v/>
      </c>
    </row>
    <row r="1880" spans="1:28" s="264" customFormat="1" ht="20.399999999999999">
      <c r="A1880" s="207"/>
      <c r="B1880" s="208"/>
      <c r="C1880" s="212"/>
      <c r="D1880" s="270"/>
      <c r="E1880" s="208"/>
      <c r="F1880" s="208"/>
      <c r="G1880" s="208"/>
      <c r="H1880" s="209"/>
      <c r="I1880" s="210"/>
      <c r="J1880" s="210"/>
      <c r="K1880" s="260"/>
      <c r="L1880" s="260"/>
      <c r="M1880" s="260"/>
      <c r="N1880" s="260"/>
      <c r="O1880" s="260"/>
      <c r="P1880" s="211"/>
      <c r="Q1880" s="261"/>
      <c r="R1880" s="208" t="str">
        <f ca="1">IF(ISERROR($V1880),"",OFFSET('Smelter Look-up'!$C$4,$V1880-4,0)&amp;"")</f>
        <v/>
      </c>
      <c r="S1880" s="215" t="str">
        <f t="shared" ca="1" si="264"/>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si="265"/>
        <v>0</v>
      </c>
      <c r="Y1880" s="263"/>
      <c r="Z1880" s="263"/>
      <c r="AB1880" s="265" t="str">
        <f t="shared" si="266"/>
        <v/>
      </c>
    </row>
    <row r="1881" spans="1:28" s="264" customFormat="1" ht="20.399999999999999">
      <c r="A1881" s="207"/>
      <c r="B1881" s="208"/>
      <c r="C1881" s="212"/>
      <c r="D1881" s="270"/>
      <c r="E1881" s="208"/>
      <c r="F1881" s="208"/>
      <c r="G1881" s="208"/>
      <c r="H1881" s="209"/>
      <c r="I1881" s="210"/>
      <c r="J1881" s="210"/>
      <c r="K1881" s="260"/>
      <c r="L1881" s="260"/>
      <c r="M1881" s="260"/>
      <c r="N1881" s="260"/>
      <c r="O1881" s="260"/>
      <c r="P1881" s="211"/>
      <c r="Q1881" s="261"/>
      <c r="R1881" s="208" t="str">
        <f ca="1">IF(ISERROR($V1881),"",OFFSET('Smelter Look-up'!$C$4,$V1881-4,0)&amp;"")</f>
        <v/>
      </c>
      <c r="S1881" s="215" t="str">
        <f t="shared" ca="1" si="264"/>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si="265"/>
        <v>0</v>
      </c>
      <c r="Y1881" s="263"/>
      <c r="Z1881" s="263"/>
      <c r="AB1881" s="265" t="str">
        <f t="shared" si="266"/>
        <v/>
      </c>
    </row>
    <row r="1882" spans="1:28" s="264" customFormat="1" ht="20.399999999999999">
      <c r="A1882" s="207"/>
      <c r="B1882" s="208"/>
      <c r="C1882" s="212"/>
      <c r="D1882" s="270"/>
      <c r="E1882" s="208"/>
      <c r="F1882" s="208"/>
      <c r="G1882" s="208"/>
      <c r="H1882" s="209"/>
      <c r="I1882" s="210"/>
      <c r="J1882" s="210"/>
      <c r="K1882" s="260"/>
      <c r="L1882" s="260"/>
      <c r="M1882" s="260"/>
      <c r="N1882" s="260"/>
      <c r="O1882" s="260"/>
      <c r="P1882" s="211"/>
      <c r="Q1882" s="261"/>
      <c r="R1882" s="208" t="str">
        <f ca="1">IF(ISERROR($V1882),"",OFFSET('Smelter Look-up'!$C$4,$V1882-4,0)&amp;"")</f>
        <v/>
      </c>
      <c r="S1882" s="215" t="str">
        <f t="shared" ca="1" si="264"/>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si="265"/>
        <v>0</v>
      </c>
      <c r="Y1882" s="263"/>
      <c r="Z1882" s="263"/>
      <c r="AB1882" s="265" t="str">
        <f t="shared" si="266"/>
        <v/>
      </c>
    </row>
    <row r="1883" spans="1:28" s="264" customFormat="1" ht="20.399999999999999">
      <c r="A1883" s="207"/>
      <c r="B1883" s="208"/>
      <c r="C1883" s="212"/>
      <c r="D1883" s="270"/>
      <c r="E1883" s="208"/>
      <c r="F1883" s="208"/>
      <c r="G1883" s="208"/>
      <c r="H1883" s="209"/>
      <c r="I1883" s="210"/>
      <c r="J1883" s="210"/>
      <c r="K1883" s="260"/>
      <c r="L1883" s="260"/>
      <c r="M1883" s="260"/>
      <c r="N1883" s="260"/>
      <c r="O1883" s="260"/>
      <c r="P1883" s="211"/>
      <c r="Q1883" s="261"/>
      <c r="R1883" s="208" t="str">
        <f ca="1">IF(ISERROR($V1883),"",OFFSET('Smelter Look-up'!$C$4,$V1883-4,0)&amp;"")</f>
        <v/>
      </c>
      <c r="S1883" s="215" t="str">
        <f t="shared" ca="1" si="264"/>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si="265"/>
        <v>0</v>
      </c>
      <c r="Y1883" s="263"/>
      <c r="Z1883" s="263"/>
      <c r="AB1883" s="265" t="str">
        <f t="shared" si="266"/>
        <v/>
      </c>
    </row>
    <row r="1884" spans="1:28" s="264" customFormat="1" ht="20.399999999999999">
      <c r="A1884" s="207"/>
      <c r="B1884" s="208"/>
      <c r="C1884" s="212"/>
      <c r="D1884" s="270"/>
      <c r="E1884" s="208"/>
      <c r="F1884" s="208"/>
      <c r="G1884" s="208"/>
      <c r="H1884" s="209"/>
      <c r="I1884" s="210"/>
      <c r="J1884" s="210"/>
      <c r="K1884" s="260"/>
      <c r="L1884" s="260"/>
      <c r="M1884" s="260"/>
      <c r="N1884" s="260"/>
      <c r="O1884" s="260"/>
      <c r="P1884" s="211"/>
      <c r="Q1884" s="261"/>
      <c r="R1884" s="208" t="str">
        <f ca="1">IF(ISERROR($V1884),"",OFFSET('Smelter Look-up'!$C$4,$V1884-4,0)&amp;"")</f>
        <v/>
      </c>
      <c r="S1884" s="215" t="str">
        <f t="shared" ref="S1884:S1914" ca="1" si="267">IF(B1884="","",IF(ISERROR(MATCH($E1884,CL,0)),"Unknown",INDIRECT("'C'!$A$"&amp;MATCH($E1884,CL,0)+1)))</f>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ref="X1884:X1914" si="268">IF(AND(C1884="Smelter not listed",OR(LEN(D1884)=0,LEN(E1884)=0)),1,0)</f>
        <v>0</v>
      </c>
      <c r="Y1884" s="263"/>
      <c r="Z1884" s="263"/>
      <c r="AB1884" s="265" t="str">
        <f t="shared" ref="AB1884:AB1914" si="269">B1884&amp;C1884</f>
        <v/>
      </c>
    </row>
    <row r="1885" spans="1:28" s="264" customFormat="1" ht="20.399999999999999">
      <c r="A1885" s="207"/>
      <c r="B1885" s="208"/>
      <c r="C1885" s="212"/>
      <c r="D1885" s="270"/>
      <c r="E1885" s="208"/>
      <c r="F1885" s="208"/>
      <c r="G1885" s="208"/>
      <c r="H1885" s="209"/>
      <c r="I1885" s="210"/>
      <c r="J1885" s="210"/>
      <c r="K1885" s="260"/>
      <c r="L1885" s="260"/>
      <c r="M1885" s="260"/>
      <c r="N1885" s="260"/>
      <c r="O1885" s="260"/>
      <c r="P1885" s="211"/>
      <c r="Q1885" s="261"/>
      <c r="R1885" s="208" t="str">
        <f ca="1">IF(ISERROR($V1885),"",OFFSET('Smelter Look-up'!$C$4,$V1885-4,0)&amp;"")</f>
        <v/>
      </c>
      <c r="S1885" s="215" t="str">
        <f t="shared" ca="1" si="267"/>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si="268"/>
        <v>0</v>
      </c>
      <c r="Y1885" s="263"/>
      <c r="Z1885" s="263"/>
      <c r="AB1885" s="265" t="str">
        <f t="shared" si="269"/>
        <v/>
      </c>
    </row>
    <row r="1886" spans="1:28" s="264" customFormat="1" ht="20.399999999999999">
      <c r="A1886" s="207"/>
      <c r="B1886" s="208"/>
      <c r="C1886" s="212"/>
      <c r="D1886" s="270"/>
      <c r="E1886" s="208"/>
      <c r="F1886" s="208"/>
      <c r="G1886" s="208"/>
      <c r="H1886" s="209"/>
      <c r="I1886" s="210"/>
      <c r="J1886" s="210"/>
      <c r="K1886" s="260"/>
      <c r="L1886" s="260"/>
      <c r="M1886" s="260"/>
      <c r="N1886" s="260"/>
      <c r="O1886" s="260"/>
      <c r="P1886" s="211"/>
      <c r="Q1886" s="261"/>
      <c r="R1886" s="208" t="str">
        <f ca="1">IF(ISERROR($V1886),"",OFFSET('Smelter Look-up'!$C$4,$V1886-4,0)&amp;"")</f>
        <v/>
      </c>
      <c r="S1886" s="215" t="str">
        <f t="shared" ca="1" si="267"/>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si="268"/>
        <v>0</v>
      </c>
      <c r="Y1886" s="263"/>
      <c r="Z1886" s="263"/>
      <c r="AB1886" s="265" t="str">
        <f t="shared" si="269"/>
        <v/>
      </c>
    </row>
    <row r="1887" spans="1:28" s="264" customFormat="1" ht="20.399999999999999">
      <c r="A1887" s="207"/>
      <c r="B1887" s="208"/>
      <c r="C1887" s="212"/>
      <c r="D1887" s="270"/>
      <c r="E1887" s="208"/>
      <c r="F1887" s="208"/>
      <c r="G1887" s="208"/>
      <c r="H1887" s="209"/>
      <c r="I1887" s="210"/>
      <c r="J1887" s="210"/>
      <c r="K1887" s="260"/>
      <c r="L1887" s="260"/>
      <c r="M1887" s="260"/>
      <c r="N1887" s="260"/>
      <c r="O1887" s="260"/>
      <c r="P1887" s="211"/>
      <c r="Q1887" s="261"/>
      <c r="R1887" s="208" t="str">
        <f ca="1">IF(ISERROR($V1887),"",OFFSET('Smelter Look-up'!$C$4,$V1887-4,0)&amp;"")</f>
        <v/>
      </c>
      <c r="S1887" s="215" t="str">
        <f t="shared" ca="1" si="267"/>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si="268"/>
        <v>0</v>
      </c>
      <c r="Y1887" s="263"/>
      <c r="Z1887" s="263"/>
      <c r="AB1887" s="265" t="str">
        <f t="shared" si="269"/>
        <v/>
      </c>
    </row>
    <row r="1888" spans="1:28" s="264" customFormat="1" ht="20.399999999999999">
      <c r="A1888" s="207"/>
      <c r="B1888" s="208"/>
      <c r="C1888" s="212"/>
      <c r="D1888" s="270"/>
      <c r="E1888" s="208"/>
      <c r="F1888" s="208"/>
      <c r="G1888" s="208"/>
      <c r="H1888" s="209"/>
      <c r="I1888" s="210"/>
      <c r="J1888" s="210"/>
      <c r="K1888" s="260"/>
      <c r="L1888" s="260"/>
      <c r="M1888" s="260"/>
      <c r="N1888" s="260"/>
      <c r="O1888" s="260"/>
      <c r="P1888" s="211"/>
      <c r="Q1888" s="261"/>
      <c r="R1888" s="208" t="str">
        <f ca="1">IF(ISERROR($V1888),"",OFFSET('Smelter Look-up'!$C$4,$V1888-4,0)&amp;"")</f>
        <v/>
      </c>
      <c r="S1888" s="215" t="str">
        <f t="shared" ca="1" si="267"/>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si="268"/>
        <v>0</v>
      </c>
      <c r="Y1888" s="263"/>
      <c r="Z1888" s="263"/>
      <c r="AB1888" s="265" t="str">
        <f t="shared" si="269"/>
        <v/>
      </c>
    </row>
    <row r="1889" spans="1:28" s="264" customFormat="1" ht="20.399999999999999">
      <c r="A1889" s="207"/>
      <c r="B1889" s="208"/>
      <c r="C1889" s="212"/>
      <c r="D1889" s="270"/>
      <c r="E1889" s="208"/>
      <c r="F1889" s="208"/>
      <c r="G1889" s="208"/>
      <c r="H1889" s="209"/>
      <c r="I1889" s="210"/>
      <c r="J1889" s="210"/>
      <c r="K1889" s="260"/>
      <c r="L1889" s="260"/>
      <c r="M1889" s="260"/>
      <c r="N1889" s="260"/>
      <c r="O1889" s="260"/>
      <c r="P1889" s="211"/>
      <c r="Q1889" s="261"/>
      <c r="R1889" s="208" t="str">
        <f ca="1">IF(ISERROR($V1889),"",OFFSET('Smelter Look-up'!$C$4,$V1889-4,0)&amp;"")</f>
        <v/>
      </c>
      <c r="S1889" s="215" t="str">
        <f t="shared" ca="1" si="267"/>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si="268"/>
        <v>0</v>
      </c>
      <c r="Y1889" s="263"/>
      <c r="Z1889" s="263"/>
      <c r="AB1889" s="265" t="str">
        <f t="shared" si="269"/>
        <v/>
      </c>
    </row>
    <row r="1890" spans="1:28" s="264" customFormat="1" ht="20.399999999999999">
      <c r="A1890" s="207"/>
      <c r="B1890" s="208"/>
      <c r="C1890" s="212"/>
      <c r="D1890" s="270"/>
      <c r="E1890" s="208"/>
      <c r="F1890" s="208"/>
      <c r="G1890" s="208"/>
      <c r="H1890" s="209"/>
      <c r="I1890" s="210"/>
      <c r="J1890" s="210"/>
      <c r="K1890" s="260"/>
      <c r="L1890" s="260"/>
      <c r="M1890" s="260"/>
      <c r="N1890" s="260"/>
      <c r="O1890" s="260"/>
      <c r="P1890" s="211"/>
      <c r="Q1890" s="261"/>
      <c r="R1890" s="208" t="str">
        <f ca="1">IF(ISERROR($V1890),"",OFFSET('Smelter Look-up'!$C$4,$V1890-4,0)&amp;"")</f>
        <v/>
      </c>
      <c r="S1890" s="215" t="str">
        <f t="shared" ca="1" si="267"/>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si="268"/>
        <v>0</v>
      </c>
      <c r="Y1890" s="263"/>
      <c r="Z1890" s="263"/>
      <c r="AB1890" s="265" t="str">
        <f t="shared" si="269"/>
        <v/>
      </c>
    </row>
    <row r="1891" spans="1:28" s="264" customFormat="1" ht="20.399999999999999">
      <c r="A1891" s="207"/>
      <c r="B1891" s="208"/>
      <c r="C1891" s="212"/>
      <c r="D1891" s="270"/>
      <c r="E1891" s="208"/>
      <c r="F1891" s="208"/>
      <c r="G1891" s="208"/>
      <c r="H1891" s="209"/>
      <c r="I1891" s="210"/>
      <c r="J1891" s="210"/>
      <c r="K1891" s="260"/>
      <c r="L1891" s="260"/>
      <c r="M1891" s="260"/>
      <c r="N1891" s="260"/>
      <c r="O1891" s="260"/>
      <c r="P1891" s="211"/>
      <c r="Q1891" s="261"/>
      <c r="R1891" s="208" t="str">
        <f ca="1">IF(ISERROR($V1891),"",OFFSET('Smelter Look-up'!$C$4,$V1891-4,0)&amp;"")</f>
        <v/>
      </c>
      <c r="S1891" s="215" t="str">
        <f t="shared" ca="1" si="267"/>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si="268"/>
        <v>0</v>
      </c>
      <c r="Y1891" s="263"/>
      <c r="Z1891" s="263"/>
      <c r="AB1891" s="265" t="str">
        <f t="shared" si="269"/>
        <v/>
      </c>
    </row>
    <row r="1892" spans="1:28" s="264" customFormat="1" ht="20.399999999999999">
      <c r="A1892" s="207"/>
      <c r="B1892" s="208"/>
      <c r="C1892" s="212"/>
      <c r="D1892" s="270"/>
      <c r="E1892" s="208"/>
      <c r="F1892" s="208"/>
      <c r="G1892" s="208"/>
      <c r="H1892" s="209"/>
      <c r="I1892" s="210"/>
      <c r="J1892" s="210"/>
      <c r="K1892" s="260"/>
      <c r="L1892" s="260"/>
      <c r="M1892" s="260"/>
      <c r="N1892" s="260"/>
      <c r="O1892" s="260"/>
      <c r="P1892" s="211"/>
      <c r="Q1892" s="261"/>
      <c r="R1892" s="208" t="str">
        <f ca="1">IF(ISERROR($V1892),"",OFFSET('Smelter Look-up'!$C$4,$V1892-4,0)&amp;"")</f>
        <v/>
      </c>
      <c r="S1892" s="215" t="str">
        <f t="shared" ca="1" si="267"/>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si="268"/>
        <v>0</v>
      </c>
      <c r="Y1892" s="263"/>
      <c r="Z1892" s="263"/>
      <c r="AB1892" s="265" t="str">
        <f t="shared" si="269"/>
        <v/>
      </c>
    </row>
    <row r="1893" spans="1:28" s="264" customFormat="1" ht="20.399999999999999">
      <c r="A1893" s="207"/>
      <c r="B1893" s="208"/>
      <c r="C1893" s="212"/>
      <c r="D1893" s="270"/>
      <c r="E1893" s="208"/>
      <c r="F1893" s="208"/>
      <c r="G1893" s="208"/>
      <c r="H1893" s="209"/>
      <c r="I1893" s="210"/>
      <c r="J1893" s="210"/>
      <c r="K1893" s="260"/>
      <c r="L1893" s="260"/>
      <c r="M1893" s="260"/>
      <c r="N1893" s="260"/>
      <c r="O1893" s="260"/>
      <c r="P1893" s="211"/>
      <c r="Q1893" s="261"/>
      <c r="R1893" s="208" t="str">
        <f ca="1">IF(ISERROR($V1893),"",OFFSET('Smelter Look-up'!$C$4,$V1893-4,0)&amp;"")</f>
        <v/>
      </c>
      <c r="S1893" s="215" t="str">
        <f t="shared" ca="1" si="267"/>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si="268"/>
        <v>0</v>
      </c>
      <c r="Y1893" s="263"/>
      <c r="Z1893" s="263"/>
      <c r="AB1893" s="265" t="str">
        <f t="shared" si="269"/>
        <v/>
      </c>
    </row>
    <row r="1894" spans="1:28" s="264" customFormat="1" ht="20.399999999999999">
      <c r="A1894" s="207"/>
      <c r="B1894" s="208"/>
      <c r="C1894" s="212"/>
      <c r="D1894" s="270"/>
      <c r="E1894" s="208"/>
      <c r="F1894" s="208"/>
      <c r="G1894" s="208"/>
      <c r="H1894" s="209"/>
      <c r="I1894" s="210"/>
      <c r="J1894" s="210"/>
      <c r="K1894" s="260"/>
      <c r="L1894" s="260"/>
      <c r="M1894" s="260"/>
      <c r="N1894" s="260"/>
      <c r="O1894" s="260"/>
      <c r="P1894" s="211"/>
      <c r="Q1894" s="261"/>
      <c r="R1894" s="208" t="str">
        <f ca="1">IF(ISERROR($V1894),"",OFFSET('Smelter Look-up'!$C$4,$V1894-4,0)&amp;"")</f>
        <v/>
      </c>
      <c r="S1894" s="215" t="str">
        <f t="shared" ca="1" si="267"/>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si="268"/>
        <v>0</v>
      </c>
      <c r="Y1894" s="263"/>
      <c r="Z1894" s="263"/>
      <c r="AB1894" s="265" t="str">
        <f t="shared" si="269"/>
        <v/>
      </c>
    </row>
    <row r="1895" spans="1:28" s="264" customFormat="1" ht="20.399999999999999">
      <c r="A1895" s="207"/>
      <c r="B1895" s="208"/>
      <c r="C1895" s="212"/>
      <c r="D1895" s="270"/>
      <c r="E1895" s="208"/>
      <c r="F1895" s="208"/>
      <c r="G1895" s="208"/>
      <c r="H1895" s="209"/>
      <c r="I1895" s="210"/>
      <c r="J1895" s="210"/>
      <c r="K1895" s="260"/>
      <c r="L1895" s="260"/>
      <c r="M1895" s="260"/>
      <c r="N1895" s="260"/>
      <c r="O1895" s="260"/>
      <c r="P1895" s="211"/>
      <c r="Q1895" s="261"/>
      <c r="R1895" s="208" t="str">
        <f ca="1">IF(ISERROR($V1895),"",OFFSET('Smelter Look-up'!$C$4,$V1895-4,0)&amp;"")</f>
        <v/>
      </c>
      <c r="S1895" s="215" t="str">
        <f t="shared" ca="1" si="267"/>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si="268"/>
        <v>0</v>
      </c>
      <c r="Y1895" s="263"/>
      <c r="Z1895" s="263"/>
      <c r="AB1895" s="265" t="str">
        <f t="shared" si="269"/>
        <v/>
      </c>
    </row>
    <row r="1896" spans="1:28" s="264" customFormat="1" ht="20.399999999999999">
      <c r="A1896" s="207"/>
      <c r="B1896" s="208"/>
      <c r="C1896" s="212"/>
      <c r="D1896" s="270"/>
      <c r="E1896" s="208"/>
      <c r="F1896" s="208"/>
      <c r="G1896" s="208"/>
      <c r="H1896" s="209"/>
      <c r="I1896" s="210"/>
      <c r="J1896" s="210"/>
      <c r="K1896" s="260"/>
      <c r="L1896" s="260"/>
      <c r="M1896" s="260"/>
      <c r="N1896" s="260"/>
      <c r="O1896" s="260"/>
      <c r="P1896" s="211"/>
      <c r="Q1896" s="261"/>
      <c r="R1896" s="208" t="str">
        <f ca="1">IF(ISERROR($V1896),"",OFFSET('Smelter Look-up'!$C$4,$V1896-4,0)&amp;"")</f>
        <v/>
      </c>
      <c r="S1896" s="215" t="str">
        <f t="shared" ca="1" si="267"/>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si="268"/>
        <v>0</v>
      </c>
      <c r="Y1896" s="263"/>
      <c r="Z1896" s="263"/>
      <c r="AB1896" s="265" t="str">
        <f t="shared" si="269"/>
        <v/>
      </c>
    </row>
    <row r="1897" spans="1:28" s="264" customFormat="1" ht="20.399999999999999">
      <c r="A1897" s="207"/>
      <c r="B1897" s="208"/>
      <c r="C1897" s="212"/>
      <c r="D1897" s="270"/>
      <c r="E1897" s="208"/>
      <c r="F1897" s="208"/>
      <c r="G1897" s="208"/>
      <c r="H1897" s="209"/>
      <c r="I1897" s="210"/>
      <c r="J1897" s="210"/>
      <c r="K1897" s="260"/>
      <c r="L1897" s="260"/>
      <c r="M1897" s="260"/>
      <c r="N1897" s="260"/>
      <c r="O1897" s="260"/>
      <c r="P1897" s="211"/>
      <c r="Q1897" s="261"/>
      <c r="R1897" s="208" t="str">
        <f ca="1">IF(ISERROR($V1897),"",OFFSET('Smelter Look-up'!$C$4,$V1897-4,0)&amp;"")</f>
        <v/>
      </c>
      <c r="S1897" s="215" t="str">
        <f t="shared" ca="1" si="267"/>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si="268"/>
        <v>0</v>
      </c>
      <c r="Y1897" s="263"/>
      <c r="Z1897" s="263"/>
      <c r="AB1897" s="265" t="str">
        <f t="shared" si="269"/>
        <v/>
      </c>
    </row>
    <row r="1898" spans="1:28" s="264" customFormat="1" ht="20.399999999999999">
      <c r="A1898" s="207"/>
      <c r="B1898" s="208"/>
      <c r="C1898" s="212"/>
      <c r="D1898" s="270"/>
      <c r="E1898" s="208"/>
      <c r="F1898" s="208"/>
      <c r="G1898" s="208"/>
      <c r="H1898" s="209"/>
      <c r="I1898" s="210"/>
      <c r="J1898" s="210"/>
      <c r="K1898" s="260"/>
      <c r="L1898" s="260"/>
      <c r="M1898" s="260"/>
      <c r="N1898" s="260"/>
      <c r="O1898" s="260"/>
      <c r="P1898" s="211"/>
      <c r="Q1898" s="261"/>
      <c r="R1898" s="208" t="str">
        <f ca="1">IF(ISERROR($V1898),"",OFFSET('Smelter Look-up'!$C$4,$V1898-4,0)&amp;"")</f>
        <v/>
      </c>
      <c r="S1898" s="215" t="str">
        <f t="shared" ca="1" si="267"/>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si="268"/>
        <v>0</v>
      </c>
      <c r="Y1898" s="263"/>
      <c r="Z1898" s="263"/>
      <c r="AB1898" s="265" t="str">
        <f t="shared" si="269"/>
        <v/>
      </c>
    </row>
    <row r="1899" spans="1:28" s="264" customFormat="1" ht="20.399999999999999">
      <c r="A1899" s="207"/>
      <c r="B1899" s="208"/>
      <c r="C1899" s="212"/>
      <c r="D1899" s="270"/>
      <c r="E1899" s="208"/>
      <c r="F1899" s="208"/>
      <c r="G1899" s="208"/>
      <c r="H1899" s="209"/>
      <c r="I1899" s="210"/>
      <c r="J1899" s="210"/>
      <c r="K1899" s="260"/>
      <c r="L1899" s="260"/>
      <c r="M1899" s="260"/>
      <c r="N1899" s="260"/>
      <c r="O1899" s="260"/>
      <c r="P1899" s="211"/>
      <c r="Q1899" s="261"/>
      <c r="R1899" s="208" t="str">
        <f ca="1">IF(ISERROR($V1899),"",OFFSET('Smelter Look-up'!$C$4,$V1899-4,0)&amp;"")</f>
        <v/>
      </c>
      <c r="S1899" s="215" t="str">
        <f t="shared" ca="1" si="267"/>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si="268"/>
        <v>0</v>
      </c>
      <c r="Y1899" s="263"/>
      <c r="Z1899" s="263"/>
      <c r="AB1899" s="265" t="str">
        <f t="shared" si="269"/>
        <v/>
      </c>
    </row>
    <row r="1900" spans="1:28" s="264" customFormat="1" ht="20.399999999999999">
      <c r="A1900" s="207"/>
      <c r="B1900" s="208"/>
      <c r="C1900" s="212"/>
      <c r="D1900" s="270"/>
      <c r="E1900" s="208"/>
      <c r="F1900" s="208"/>
      <c r="G1900" s="208"/>
      <c r="H1900" s="209"/>
      <c r="I1900" s="210"/>
      <c r="J1900" s="210"/>
      <c r="K1900" s="260"/>
      <c r="L1900" s="260"/>
      <c r="M1900" s="260"/>
      <c r="N1900" s="260"/>
      <c r="O1900" s="260"/>
      <c r="P1900" s="211"/>
      <c r="Q1900" s="261"/>
      <c r="R1900" s="208" t="str">
        <f ca="1">IF(ISERROR($V1900),"",OFFSET('Smelter Look-up'!$C$4,$V1900-4,0)&amp;"")</f>
        <v/>
      </c>
      <c r="S1900" s="215" t="str">
        <f t="shared" ca="1" si="267"/>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si="268"/>
        <v>0</v>
      </c>
      <c r="Y1900" s="263"/>
      <c r="Z1900" s="263"/>
      <c r="AB1900" s="265" t="str">
        <f t="shared" si="269"/>
        <v/>
      </c>
    </row>
    <row r="1901" spans="1:28" s="264" customFormat="1" ht="20.399999999999999">
      <c r="A1901" s="207"/>
      <c r="B1901" s="208"/>
      <c r="C1901" s="212"/>
      <c r="D1901" s="270"/>
      <c r="E1901" s="208"/>
      <c r="F1901" s="208"/>
      <c r="G1901" s="208"/>
      <c r="H1901" s="209"/>
      <c r="I1901" s="210"/>
      <c r="J1901" s="210"/>
      <c r="K1901" s="260"/>
      <c r="L1901" s="260"/>
      <c r="M1901" s="260"/>
      <c r="N1901" s="260"/>
      <c r="O1901" s="260"/>
      <c r="P1901" s="211"/>
      <c r="Q1901" s="261"/>
      <c r="R1901" s="208" t="str">
        <f ca="1">IF(ISERROR($V1901),"",OFFSET('Smelter Look-up'!$C$4,$V1901-4,0)&amp;"")</f>
        <v/>
      </c>
      <c r="S1901" s="215" t="str">
        <f t="shared" ca="1" si="267"/>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si="268"/>
        <v>0</v>
      </c>
      <c r="Y1901" s="263"/>
      <c r="Z1901" s="263"/>
      <c r="AB1901" s="265" t="str">
        <f t="shared" si="269"/>
        <v/>
      </c>
    </row>
    <row r="1902" spans="1:28" s="264" customFormat="1" ht="20.399999999999999">
      <c r="A1902" s="207"/>
      <c r="B1902" s="208"/>
      <c r="C1902" s="212"/>
      <c r="D1902" s="270"/>
      <c r="E1902" s="208"/>
      <c r="F1902" s="208"/>
      <c r="G1902" s="208"/>
      <c r="H1902" s="209"/>
      <c r="I1902" s="210"/>
      <c r="J1902" s="210"/>
      <c r="K1902" s="260"/>
      <c r="L1902" s="260"/>
      <c r="M1902" s="260"/>
      <c r="N1902" s="260"/>
      <c r="O1902" s="260"/>
      <c r="P1902" s="211"/>
      <c r="Q1902" s="261"/>
      <c r="R1902" s="208" t="str">
        <f ca="1">IF(ISERROR($V1902),"",OFFSET('Smelter Look-up'!$C$4,$V1902-4,0)&amp;"")</f>
        <v/>
      </c>
      <c r="S1902" s="215" t="str">
        <f t="shared" ca="1" si="267"/>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si="268"/>
        <v>0</v>
      </c>
      <c r="Y1902" s="263"/>
      <c r="Z1902" s="263"/>
      <c r="AB1902" s="265" t="str">
        <f t="shared" si="269"/>
        <v/>
      </c>
    </row>
    <row r="1903" spans="1:28" s="264" customFormat="1" ht="20.399999999999999">
      <c r="A1903" s="207"/>
      <c r="B1903" s="208"/>
      <c r="C1903" s="212"/>
      <c r="D1903" s="270"/>
      <c r="E1903" s="208"/>
      <c r="F1903" s="208"/>
      <c r="G1903" s="208"/>
      <c r="H1903" s="209"/>
      <c r="I1903" s="210"/>
      <c r="J1903" s="210"/>
      <c r="K1903" s="260"/>
      <c r="L1903" s="260"/>
      <c r="M1903" s="260"/>
      <c r="N1903" s="260"/>
      <c r="O1903" s="260"/>
      <c r="P1903" s="211"/>
      <c r="Q1903" s="261"/>
      <c r="R1903" s="208" t="str">
        <f ca="1">IF(ISERROR($V1903),"",OFFSET('Smelter Look-up'!$C$4,$V1903-4,0)&amp;"")</f>
        <v/>
      </c>
      <c r="S1903" s="215" t="str">
        <f t="shared" ca="1" si="267"/>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si="268"/>
        <v>0</v>
      </c>
      <c r="Y1903" s="263"/>
      <c r="Z1903" s="263"/>
      <c r="AB1903" s="265" t="str">
        <f t="shared" si="269"/>
        <v/>
      </c>
    </row>
    <row r="1904" spans="1:28" s="264" customFormat="1" ht="20.399999999999999">
      <c r="A1904" s="207"/>
      <c r="B1904" s="208"/>
      <c r="C1904" s="212"/>
      <c r="D1904" s="270"/>
      <c r="E1904" s="208"/>
      <c r="F1904" s="208"/>
      <c r="G1904" s="208"/>
      <c r="H1904" s="209"/>
      <c r="I1904" s="210"/>
      <c r="J1904" s="210"/>
      <c r="K1904" s="260"/>
      <c r="L1904" s="260"/>
      <c r="M1904" s="260"/>
      <c r="N1904" s="260"/>
      <c r="O1904" s="260"/>
      <c r="P1904" s="211"/>
      <c r="Q1904" s="261"/>
      <c r="R1904" s="208" t="str">
        <f ca="1">IF(ISERROR($V1904),"",OFFSET('Smelter Look-up'!$C$4,$V1904-4,0)&amp;"")</f>
        <v/>
      </c>
      <c r="S1904" s="215" t="str">
        <f t="shared" ca="1" si="267"/>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si="268"/>
        <v>0</v>
      </c>
      <c r="Y1904" s="263"/>
      <c r="Z1904" s="263"/>
      <c r="AB1904" s="265" t="str">
        <f t="shared" si="269"/>
        <v/>
      </c>
    </row>
    <row r="1905" spans="1:28" s="264" customFormat="1" ht="20.399999999999999">
      <c r="A1905" s="207"/>
      <c r="B1905" s="208"/>
      <c r="C1905" s="212"/>
      <c r="D1905" s="270"/>
      <c r="E1905" s="208"/>
      <c r="F1905" s="208"/>
      <c r="G1905" s="208"/>
      <c r="H1905" s="209"/>
      <c r="I1905" s="210"/>
      <c r="J1905" s="210"/>
      <c r="K1905" s="260"/>
      <c r="L1905" s="260"/>
      <c r="M1905" s="260"/>
      <c r="N1905" s="260"/>
      <c r="O1905" s="260"/>
      <c r="P1905" s="211"/>
      <c r="Q1905" s="261"/>
      <c r="R1905" s="208" t="str">
        <f ca="1">IF(ISERROR($V1905),"",OFFSET('Smelter Look-up'!$C$4,$V1905-4,0)&amp;"")</f>
        <v/>
      </c>
      <c r="S1905" s="215" t="str">
        <f t="shared" ca="1" si="267"/>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si="268"/>
        <v>0</v>
      </c>
      <c r="Y1905" s="263"/>
      <c r="Z1905" s="263"/>
      <c r="AB1905" s="265" t="str">
        <f t="shared" si="269"/>
        <v/>
      </c>
    </row>
    <row r="1906" spans="1:28" s="264" customFormat="1" ht="20.399999999999999">
      <c r="A1906" s="207"/>
      <c r="B1906" s="208"/>
      <c r="C1906" s="212"/>
      <c r="D1906" s="270"/>
      <c r="E1906" s="208"/>
      <c r="F1906" s="208"/>
      <c r="G1906" s="208"/>
      <c r="H1906" s="209"/>
      <c r="I1906" s="210"/>
      <c r="J1906" s="210"/>
      <c r="K1906" s="260"/>
      <c r="L1906" s="260"/>
      <c r="M1906" s="260"/>
      <c r="N1906" s="260"/>
      <c r="O1906" s="260"/>
      <c r="P1906" s="211"/>
      <c r="Q1906" s="261"/>
      <c r="R1906" s="208" t="str">
        <f ca="1">IF(ISERROR($V1906),"",OFFSET('Smelter Look-up'!$C$4,$V1906-4,0)&amp;"")</f>
        <v/>
      </c>
      <c r="S1906" s="215" t="str">
        <f t="shared" ca="1" si="267"/>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si="268"/>
        <v>0</v>
      </c>
      <c r="Y1906" s="263"/>
      <c r="Z1906" s="263"/>
      <c r="AB1906" s="265" t="str">
        <f t="shared" si="269"/>
        <v/>
      </c>
    </row>
    <row r="1907" spans="1:28" s="264" customFormat="1" ht="20.399999999999999">
      <c r="A1907" s="207"/>
      <c r="B1907" s="208"/>
      <c r="C1907" s="212"/>
      <c r="D1907" s="270"/>
      <c r="E1907" s="208"/>
      <c r="F1907" s="208"/>
      <c r="G1907" s="208"/>
      <c r="H1907" s="209"/>
      <c r="I1907" s="210"/>
      <c r="J1907" s="210"/>
      <c r="K1907" s="260"/>
      <c r="L1907" s="260"/>
      <c r="M1907" s="260"/>
      <c r="N1907" s="260"/>
      <c r="O1907" s="260"/>
      <c r="P1907" s="211"/>
      <c r="Q1907" s="261"/>
      <c r="R1907" s="208" t="str">
        <f ca="1">IF(ISERROR($V1907),"",OFFSET('Smelter Look-up'!$C$4,$V1907-4,0)&amp;"")</f>
        <v/>
      </c>
      <c r="S1907" s="215" t="str">
        <f t="shared" ca="1" si="267"/>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si="268"/>
        <v>0</v>
      </c>
      <c r="Y1907" s="263"/>
      <c r="Z1907" s="263"/>
      <c r="AB1907" s="265" t="str">
        <f t="shared" si="269"/>
        <v/>
      </c>
    </row>
    <row r="1908" spans="1:28" s="264" customFormat="1" ht="20.399999999999999">
      <c r="A1908" s="207"/>
      <c r="B1908" s="208"/>
      <c r="C1908" s="212"/>
      <c r="D1908" s="270"/>
      <c r="E1908" s="208"/>
      <c r="F1908" s="208"/>
      <c r="G1908" s="208"/>
      <c r="H1908" s="209"/>
      <c r="I1908" s="210"/>
      <c r="J1908" s="210"/>
      <c r="K1908" s="260"/>
      <c r="L1908" s="260"/>
      <c r="M1908" s="260"/>
      <c r="N1908" s="260"/>
      <c r="O1908" s="260"/>
      <c r="P1908" s="211"/>
      <c r="Q1908" s="261"/>
      <c r="R1908" s="208" t="str">
        <f ca="1">IF(ISERROR($V1908),"",OFFSET('Smelter Look-up'!$C$4,$V1908-4,0)&amp;"")</f>
        <v/>
      </c>
      <c r="S1908" s="215" t="str">
        <f t="shared" ca="1" si="267"/>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si="268"/>
        <v>0</v>
      </c>
      <c r="Y1908" s="263"/>
      <c r="Z1908" s="263"/>
      <c r="AB1908" s="265" t="str">
        <f t="shared" si="269"/>
        <v/>
      </c>
    </row>
    <row r="1909" spans="1:28" s="264" customFormat="1" ht="20.399999999999999">
      <c r="A1909" s="207"/>
      <c r="B1909" s="208"/>
      <c r="C1909" s="212"/>
      <c r="D1909" s="270"/>
      <c r="E1909" s="208"/>
      <c r="F1909" s="208"/>
      <c r="G1909" s="208"/>
      <c r="H1909" s="209"/>
      <c r="I1909" s="210"/>
      <c r="J1909" s="210"/>
      <c r="K1909" s="260"/>
      <c r="L1909" s="260"/>
      <c r="M1909" s="260"/>
      <c r="N1909" s="260"/>
      <c r="O1909" s="260"/>
      <c r="P1909" s="211"/>
      <c r="Q1909" s="261"/>
      <c r="R1909" s="208" t="str">
        <f ca="1">IF(ISERROR($V1909),"",OFFSET('Smelter Look-up'!$C$4,$V1909-4,0)&amp;"")</f>
        <v/>
      </c>
      <c r="S1909" s="215" t="str">
        <f t="shared" ca="1" si="267"/>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si="268"/>
        <v>0</v>
      </c>
      <c r="Y1909" s="263"/>
      <c r="Z1909" s="263"/>
      <c r="AB1909" s="265" t="str">
        <f t="shared" si="269"/>
        <v/>
      </c>
    </row>
    <row r="1910" spans="1:28" s="264" customFormat="1" ht="20.399999999999999">
      <c r="A1910" s="207"/>
      <c r="B1910" s="208"/>
      <c r="C1910" s="212"/>
      <c r="D1910" s="270"/>
      <c r="E1910" s="208"/>
      <c r="F1910" s="208"/>
      <c r="G1910" s="208"/>
      <c r="H1910" s="209"/>
      <c r="I1910" s="210"/>
      <c r="J1910" s="210"/>
      <c r="K1910" s="260"/>
      <c r="L1910" s="260"/>
      <c r="M1910" s="260"/>
      <c r="N1910" s="260"/>
      <c r="O1910" s="260"/>
      <c r="P1910" s="211"/>
      <c r="Q1910" s="261"/>
      <c r="R1910" s="208" t="str">
        <f ca="1">IF(ISERROR($V1910),"",OFFSET('Smelter Look-up'!$C$4,$V1910-4,0)&amp;"")</f>
        <v/>
      </c>
      <c r="S1910" s="215" t="str">
        <f t="shared" ca="1" si="267"/>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si="268"/>
        <v>0</v>
      </c>
      <c r="Y1910" s="263"/>
      <c r="Z1910" s="263"/>
      <c r="AB1910" s="265" t="str">
        <f t="shared" si="269"/>
        <v/>
      </c>
    </row>
    <row r="1911" spans="1:28" s="264" customFormat="1" ht="20.399999999999999">
      <c r="A1911" s="207"/>
      <c r="B1911" s="208"/>
      <c r="C1911" s="212"/>
      <c r="D1911" s="270"/>
      <c r="E1911" s="208"/>
      <c r="F1911" s="208"/>
      <c r="G1911" s="208"/>
      <c r="H1911" s="209"/>
      <c r="I1911" s="210"/>
      <c r="J1911" s="210"/>
      <c r="K1911" s="260"/>
      <c r="L1911" s="260"/>
      <c r="M1911" s="260"/>
      <c r="N1911" s="260"/>
      <c r="O1911" s="260"/>
      <c r="P1911" s="211"/>
      <c r="Q1911" s="261"/>
      <c r="R1911" s="208" t="str">
        <f ca="1">IF(ISERROR($V1911),"",OFFSET('Smelter Look-up'!$C$4,$V1911-4,0)&amp;"")</f>
        <v/>
      </c>
      <c r="S1911" s="215" t="str">
        <f t="shared" ca="1" si="267"/>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si="268"/>
        <v>0</v>
      </c>
      <c r="Y1911" s="263"/>
      <c r="Z1911" s="263"/>
      <c r="AB1911" s="265" t="str">
        <f t="shared" si="269"/>
        <v/>
      </c>
    </row>
    <row r="1912" spans="1:28" s="264" customFormat="1" ht="20.399999999999999">
      <c r="A1912" s="207"/>
      <c r="B1912" s="208"/>
      <c r="C1912" s="212"/>
      <c r="D1912" s="270"/>
      <c r="E1912" s="208"/>
      <c r="F1912" s="208"/>
      <c r="G1912" s="208"/>
      <c r="H1912" s="209"/>
      <c r="I1912" s="210"/>
      <c r="J1912" s="210"/>
      <c r="K1912" s="260"/>
      <c r="L1912" s="260"/>
      <c r="M1912" s="260"/>
      <c r="N1912" s="260"/>
      <c r="O1912" s="260"/>
      <c r="P1912" s="211"/>
      <c r="Q1912" s="261"/>
      <c r="R1912" s="208" t="str">
        <f ca="1">IF(ISERROR($V1912),"",OFFSET('Smelter Look-up'!$C$4,$V1912-4,0)&amp;"")</f>
        <v/>
      </c>
      <c r="S1912" s="215" t="str">
        <f t="shared" ca="1" si="267"/>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si="268"/>
        <v>0</v>
      </c>
      <c r="Y1912" s="263"/>
      <c r="Z1912" s="263"/>
      <c r="AB1912" s="265" t="str">
        <f t="shared" si="269"/>
        <v/>
      </c>
    </row>
    <row r="1913" spans="1:28" s="264" customFormat="1" ht="20.399999999999999">
      <c r="A1913" s="207"/>
      <c r="B1913" s="208"/>
      <c r="C1913" s="212"/>
      <c r="D1913" s="270"/>
      <c r="E1913" s="208"/>
      <c r="F1913" s="208"/>
      <c r="G1913" s="208"/>
      <c r="H1913" s="209"/>
      <c r="I1913" s="210"/>
      <c r="J1913" s="210"/>
      <c r="K1913" s="260"/>
      <c r="L1913" s="260"/>
      <c r="M1913" s="260"/>
      <c r="N1913" s="260"/>
      <c r="O1913" s="260"/>
      <c r="P1913" s="211"/>
      <c r="Q1913" s="261"/>
      <c r="R1913" s="208" t="str">
        <f ca="1">IF(ISERROR($V1913),"",OFFSET('Smelter Look-up'!$C$4,$V1913-4,0)&amp;"")</f>
        <v/>
      </c>
      <c r="S1913" s="215" t="str">
        <f t="shared" ca="1" si="267"/>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si="268"/>
        <v>0</v>
      </c>
      <c r="Y1913" s="263"/>
      <c r="Z1913" s="263"/>
      <c r="AB1913" s="265" t="str">
        <f t="shared" si="269"/>
        <v/>
      </c>
    </row>
    <row r="1914" spans="1:28" s="264" customFormat="1" ht="20.399999999999999">
      <c r="A1914" s="207"/>
      <c r="B1914" s="208"/>
      <c r="C1914" s="212"/>
      <c r="D1914" s="270"/>
      <c r="E1914" s="208"/>
      <c r="F1914" s="208"/>
      <c r="G1914" s="208"/>
      <c r="H1914" s="209"/>
      <c r="I1914" s="210"/>
      <c r="J1914" s="210"/>
      <c r="K1914" s="260"/>
      <c r="L1914" s="260"/>
      <c r="M1914" s="260"/>
      <c r="N1914" s="260"/>
      <c r="O1914" s="260"/>
      <c r="P1914" s="211"/>
      <c r="Q1914" s="261"/>
      <c r="R1914" s="208" t="str">
        <f ca="1">IF(ISERROR($V1914),"",OFFSET('Smelter Look-up'!$C$4,$V1914-4,0)&amp;"")</f>
        <v/>
      </c>
      <c r="S1914" s="215" t="str">
        <f t="shared" ca="1" si="267"/>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si="268"/>
        <v>0</v>
      </c>
      <c r="Y1914" s="263"/>
      <c r="Z1914" s="263"/>
      <c r="AB1914" s="265" t="str">
        <f t="shared" si="269"/>
        <v/>
      </c>
    </row>
    <row r="1915" spans="1:28" s="264" customFormat="1" ht="20.399999999999999">
      <c r="A1915" s="207"/>
      <c r="B1915" s="208"/>
      <c r="C1915" s="212"/>
      <c r="D1915" s="270"/>
      <c r="E1915" s="208"/>
      <c r="F1915" s="208"/>
      <c r="G1915" s="208"/>
      <c r="H1915" s="209"/>
      <c r="I1915" s="210"/>
      <c r="J1915" s="210"/>
      <c r="K1915" s="260"/>
      <c r="L1915" s="260"/>
      <c r="M1915" s="260"/>
      <c r="N1915" s="260"/>
      <c r="O1915" s="260"/>
      <c r="P1915" s="211"/>
      <c r="Q1915" s="261"/>
      <c r="R1915" s="208" t="str">
        <f ca="1">IF(ISERROR($V1915),"",OFFSET('Smelter Look-up'!$C$4,$V1915-4,0)&amp;"")</f>
        <v/>
      </c>
      <c r="S1915" s="215" t="str">
        <f t="shared" ref="S1915" ca="1" si="270">IF(B1915="","",IF(ISERROR(MATCH($E1915,CL,0)),"Unknown",INDIRECT("'C'!$A$"&amp;MATCH($E1915,CL,0)+1)))</f>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ref="X1915" si="271">IF(AND(C1915="Smelter not listed",OR(LEN(D1915)=0,LEN(E1915)=0)),1,0)</f>
        <v>0</v>
      </c>
      <c r="Y1915" s="263"/>
      <c r="Z1915" s="263"/>
      <c r="AB1915" s="265" t="str">
        <f t="shared" ref="AB1915" si="272">B1915&amp;C1915</f>
        <v/>
      </c>
    </row>
    <row r="1916" spans="1:28" s="264" customFormat="1" ht="20.399999999999999">
      <c r="A1916" s="207"/>
      <c r="B1916" s="208"/>
      <c r="C1916" s="212"/>
      <c r="D1916" s="270"/>
      <c r="E1916" s="208"/>
      <c r="F1916" s="208"/>
      <c r="G1916" s="208"/>
      <c r="H1916" s="209"/>
      <c r="I1916" s="210"/>
      <c r="J1916" s="210"/>
      <c r="K1916" s="260"/>
      <c r="L1916" s="260"/>
      <c r="M1916" s="260"/>
      <c r="N1916" s="260"/>
      <c r="O1916" s="260"/>
      <c r="P1916" s="211"/>
      <c r="Q1916" s="261"/>
      <c r="R1916" s="208" t="str">
        <f ca="1">IF(ISERROR($V1916),"",OFFSET('Smelter Look-up'!$C$4,$V1916-4,0)&amp;"")</f>
        <v/>
      </c>
      <c r="S1916" s="215" t="str">
        <f t="shared" ref="S1916:S1947" ca="1" si="273">IF(B1916="","",IF(ISERROR(MATCH($E1916,CL,0)),"Unknown",INDIRECT("'C'!$A$"&amp;MATCH($E1916,CL,0)+1)))</f>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ref="X1916:X1947" si="274">IF(AND(C1916="Smelter not listed",OR(LEN(D1916)=0,LEN(E1916)=0)),1,0)</f>
        <v>0</v>
      </c>
      <c r="Y1916" s="263"/>
      <c r="Z1916" s="263"/>
      <c r="AB1916" s="265" t="str">
        <f t="shared" ref="AB1916:AB1947" si="275">B1916&amp;C1916</f>
        <v/>
      </c>
    </row>
    <row r="1917" spans="1:28" s="264" customFormat="1" ht="20.399999999999999">
      <c r="A1917" s="207"/>
      <c r="B1917" s="208"/>
      <c r="C1917" s="212"/>
      <c r="D1917" s="270"/>
      <c r="E1917" s="208"/>
      <c r="F1917" s="208"/>
      <c r="G1917" s="208"/>
      <c r="H1917" s="209"/>
      <c r="I1917" s="210"/>
      <c r="J1917" s="210"/>
      <c r="K1917" s="260"/>
      <c r="L1917" s="260"/>
      <c r="M1917" s="260"/>
      <c r="N1917" s="260"/>
      <c r="O1917" s="260"/>
      <c r="P1917" s="211"/>
      <c r="Q1917" s="261"/>
      <c r="R1917" s="208" t="str">
        <f ca="1">IF(ISERROR($V1917),"",OFFSET('Smelter Look-up'!$C$4,$V1917-4,0)&amp;"")</f>
        <v/>
      </c>
      <c r="S1917" s="215" t="str">
        <f t="shared" ca="1" si="273"/>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si="274"/>
        <v>0</v>
      </c>
      <c r="Y1917" s="263"/>
      <c r="Z1917" s="263"/>
      <c r="AB1917" s="265" t="str">
        <f t="shared" si="275"/>
        <v/>
      </c>
    </row>
    <row r="1918" spans="1:28" s="264" customFormat="1" ht="20.399999999999999">
      <c r="A1918" s="207"/>
      <c r="B1918" s="208"/>
      <c r="C1918" s="212"/>
      <c r="D1918" s="270"/>
      <c r="E1918" s="208"/>
      <c r="F1918" s="208"/>
      <c r="G1918" s="208"/>
      <c r="H1918" s="209"/>
      <c r="I1918" s="210"/>
      <c r="J1918" s="210"/>
      <c r="K1918" s="260"/>
      <c r="L1918" s="260"/>
      <c r="M1918" s="260"/>
      <c r="N1918" s="260"/>
      <c r="O1918" s="260"/>
      <c r="P1918" s="211"/>
      <c r="Q1918" s="261"/>
      <c r="R1918" s="208" t="str">
        <f ca="1">IF(ISERROR($V1918),"",OFFSET('Smelter Look-up'!$C$4,$V1918-4,0)&amp;"")</f>
        <v/>
      </c>
      <c r="S1918" s="215" t="str">
        <f t="shared" ca="1" si="273"/>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si="274"/>
        <v>0</v>
      </c>
      <c r="Y1918" s="263"/>
      <c r="Z1918" s="263"/>
      <c r="AB1918" s="265" t="str">
        <f t="shared" si="275"/>
        <v/>
      </c>
    </row>
    <row r="1919" spans="1:28" s="264" customFormat="1" ht="20.399999999999999">
      <c r="A1919" s="207"/>
      <c r="B1919" s="208"/>
      <c r="C1919" s="212"/>
      <c r="D1919" s="270"/>
      <c r="E1919" s="208"/>
      <c r="F1919" s="208"/>
      <c r="G1919" s="208"/>
      <c r="H1919" s="209"/>
      <c r="I1919" s="210"/>
      <c r="J1919" s="210"/>
      <c r="K1919" s="260"/>
      <c r="L1919" s="260"/>
      <c r="M1919" s="260"/>
      <c r="N1919" s="260"/>
      <c r="O1919" s="260"/>
      <c r="P1919" s="211"/>
      <c r="Q1919" s="261"/>
      <c r="R1919" s="208" t="str">
        <f ca="1">IF(ISERROR($V1919),"",OFFSET('Smelter Look-up'!$C$4,$V1919-4,0)&amp;"")</f>
        <v/>
      </c>
      <c r="S1919" s="215" t="str">
        <f t="shared" ca="1" si="273"/>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si="274"/>
        <v>0</v>
      </c>
      <c r="Y1919" s="263"/>
      <c r="Z1919" s="263"/>
      <c r="AB1919" s="265" t="str">
        <f t="shared" si="275"/>
        <v/>
      </c>
    </row>
    <row r="1920" spans="1:28" s="264" customFormat="1" ht="20.399999999999999">
      <c r="A1920" s="207"/>
      <c r="B1920" s="208"/>
      <c r="C1920" s="212"/>
      <c r="D1920" s="270"/>
      <c r="E1920" s="208"/>
      <c r="F1920" s="208"/>
      <c r="G1920" s="208"/>
      <c r="H1920" s="209"/>
      <c r="I1920" s="210"/>
      <c r="J1920" s="210"/>
      <c r="K1920" s="260"/>
      <c r="L1920" s="260"/>
      <c r="M1920" s="260"/>
      <c r="N1920" s="260"/>
      <c r="O1920" s="260"/>
      <c r="P1920" s="211"/>
      <c r="Q1920" s="261"/>
      <c r="R1920" s="208" t="str">
        <f ca="1">IF(ISERROR($V1920),"",OFFSET('Smelter Look-up'!$C$4,$V1920-4,0)&amp;"")</f>
        <v/>
      </c>
      <c r="S1920" s="215" t="str">
        <f t="shared" ca="1" si="273"/>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si="274"/>
        <v>0</v>
      </c>
      <c r="Y1920" s="263"/>
      <c r="Z1920" s="263"/>
      <c r="AB1920" s="265" t="str">
        <f t="shared" si="275"/>
        <v/>
      </c>
    </row>
    <row r="1921" spans="1:28" s="264" customFormat="1" ht="20.399999999999999">
      <c r="A1921" s="207"/>
      <c r="B1921" s="208"/>
      <c r="C1921" s="212"/>
      <c r="D1921" s="270"/>
      <c r="E1921" s="208"/>
      <c r="F1921" s="208"/>
      <c r="G1921" s="208"/>
      <c r="H1921" s="209"/>
      <c r="I1921" s="210"/>
      <c r="J1921" s="210"/>
      <c r="K1921" s="260"/>
      <c r="L1921" s="260"/>
      <c r="M1921" s="260"/>
      <c r="N1921" s="260"/>
      <c r="O1921" s="260"/>
      <c r="P1921" s="211"/>
      <c r="Q1921" s="261"/>
      <c r="R1921" s="208" t="str">
        <f ca="1">IF(ISERROR($V1921),"",OFFSET('Smelter Look-up'!$C$4,$V1921-4,0)&amp;"")</f>
        <v/>
      </c>
      <c r="S1921" s="215" t="str">
        <f t="shared" ca="1" si="273"/>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si="274"/>
        <v>0</v>
      </c>
      <c r="Y1921" s="263"/>
      <c r="Z1921" s="263"/>
      <c r="AB1921" s="265" t="str">
        <f t="shared" si="275"/>
        <v/>
      </c>
    </row>
    <row r="1922" spans="1:28" s="264" customFormat="1" ht="20.399999999999999">
      <c r="A1922" s="207"/>
      <c r="B1922" s="208"/>
      <c r="C1922" s="212"/>
      <c r="D1922" s="270"/>
      <c r="E1922" s="208"/>
      <c r="F1922" s="208"/>
      <c r="G1922" s="208"/>
      <c r="H1922" s="209"/>
      <c r="I1922" s="210"/>
      <c r="J1922" s="210"/>
      <c r="K1922" s="260"/>
      <c r="L1922" s="260"/>
      <c r="M1922" s="260"/>
      <c r="N1922" s="260"/>
      <c r="O1922" s="260"/>
      <c r="P1922" s="211"/>
      <c r="Q1922" s="261"/>
      <c r="R1922" s="208" t="str">
        <f ca="1">IF(ISERROR($V1922),"",OFFSET('Smelter Look-up'!$C$4,$V1922-4,0)&amp;"")</f>
        <v/>
      </c>
      <c r="S1922" s="215" t="str">
        <f t="shared" ca="1" si="273"/>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si="274"/>
        <v>0</v>
      </c>
      <c r="Y1922" s="263"/>
      <c r="Z1922" s="263"/>
      <c r="AB1922" s="265" t="str">
        <f t="shared" si="275"/>
        <v/>
      </c>
    </row>
    <row r="1923" spans="1:28" s="264" customFormat="1" ht="20.399999999999999">
      <c r="A1923" s="207"/>
      <c r="B1923" s="208"/>
      <c r="C1923" s="212"/>
      <c r="D1923" s="270"/>
      <c r="E1923" s="208"/>
      <c r="F1923" s="208"/>
      <c r="G1923" s="208"/>
      <c r="H1923" s="209"/>
      <c r="I1923" s="210"/>
      <c r="J1923" s="210"/>
      <c r="K1923" s="260"/>
      <c r="L1923" s="260"/>
      <c r="M1923" s="260"/>
      <c r="N1923" s="260"/>
      <c r="O1923" s="260"/>
      <c r="P1923" s="211"/>
      <c r="Q1923" s="261"/>
      <c r="R1923" s="208" t="str">
        <f ca="1">IF(ISERROR($V1923),"",OFFSET('Smelter Look-up'!$C$4,$V1923-4,0)&amp;"")</f>
        <v/>
      </c>
      <c r="S1923" s="215" t="str">
        <f t="shared" ca="1" si="273"/>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si="274"/>
        <v>0</v>
      </c>
      <c r="Y1923" s="263"/>
      <c r="Z1923" s="263"/>
      <c r="AB1923" s="265" t="str">
        <f t="shared" si="275"/>
        <v/>
      </c>
    </row>
    <row r="1924" spans="1:28" s="264" customFormat="1" ht="20.399999999999999">
      <c r="A1924" s="207"/>
      <c r="B1924" s="208"/>
      <c r="C1924" s="212"/>
      <c r="D1924" s="270"/>
      <c r="E1924" s="208"/>
      <c r="F1924" s="208"/>
      <c r="G1924" s="208"/>
      <c r="H1924" s="209"/>
      <c r="I1924" s="210"/>
      <c r="J1924" s="210"/>
      <c r="K1924" s="260"/>
      <c r="L1924" s="260"/>
      <c r="M1924" s="260"/>
      <c r="N1924" s="260"/>
      <c r="O1924" s="260"/>
      <c r="P1924" s="211"/>
      <c r="Q1924" s="261"/>
      <c r="R1924" s="208" t="str">
        <f ca="1">IF(ISERROR($V1924),"",OFFSET('Smelter Look-up'!$C$4,$V1924-4,0)&amp;"")</f>
        <v/>
      </c>
      <c r="S1924" s="215" t="str">
        <f t="shared" ca="1" si="273"/>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si="274"/>
        <v>0</v>
      </c>
      <c r="Y1924" s="263"/>
      <c r="Z1924" s="263"/>
      <c r="AB1924" s="265" t="str">
        <f t="shared" si="275"/>
        <v/>
      </c>
    </row>
    <row r="1925" spans="1:28" s="264" customFormat="1" ht="20.399999999999999">
      <c r="A1925" s="207"/>
      <c r="B1925" s="208"/>
      <c r="C1925" s="212"/>
      <c r="D1925" s="270"/>
      <c r="E1925" s="208"/>
      <c r="F1925" s="208"/>
      <c r="G1925" s="208"/>
      <c r="H1925" s="209"/>
      <c r="I1925" s="210"/>
      <c r="J1925" s="210"/>
      <c r="K1925" s="260"/>
      <c r="L1925" s="260"/>
      <c r="M1925" s="260"/>
      <c r="N1925" s="260"/>
      <c r="O1925" s="260"/>
      <c r="P1925" s="211"/>
      <c r="Q1925" s="261"/>
      <c r="R1925" s="208" t="str">
        <f ca="1">IF(ISERROR($V1925),"",OFFSET('Smelter Look-up'!$C$4,$V1925-4,0)&amp;"")</f>
        <v/>
      </c>
      <c r="S1925" s="215" t="str">
        <f t="shared" ca="1" si="273"/>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si="274"/>
        <v>0</v>
      </c>
      <c r="Y1925" s="263"/>
      <c r="Z1925" s="263"/>
      <c r="AB1925" s="265" t="str">
        <f t="shared" si="275"/>
        <v/>
      </c>
    </row>
    <row r="1926" spans="1:28" s="264" customFormat="1" ht="20.399999999999999">
      <c r="A1926" s="207"/>
      <c r="B1926" s="208"/>
      <c r="C1926" s="212"/>
      <c r="D1926" s="270"/>
      <c r="E1926" s="208"/>
      <c r="F1926" s="208"/>
      <c r="G1926" s="208"/>
      <c r="H1926" s="209"/>
      <c r="I1926" s="210"/>
      <c r="J1926" s="210"/>
      <c r="K1926" s="260"/>
      <c r="L1926" s="260"/>
      <c r="M1926" s="260"/>
      <c r="N1926" s="260"/>
      <c r="O1926" s="260"/>
      <c r="P1926" s="211"/>
      <c r="Q1926" s="261"/>
      <c r="R1926" s="208" t="str">
        <f ca="1">IF(ISERROR($V1926),"",OFFSET('Smelter Look-up'!$C$4,$V1926-4,0)&amp;"")</f>
        <v/>
      </c>
      <c r="S1926" s="215" t="str">
        <f t="shared" ca="1" si="273"/>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si="274"/>
        <v>0</v>
      </c>
      <c r="Y1926" s="263"/>
      <c r="Z1926" s="263"/>
      <c r="AB1926" s="265" t="str">
        <f t="shared" si="275"/>
        <v/>
      </c>
    </row>
    <row r="1927" spans="1:28" s="264" customFormat="1" ht="20.399999999999999">
      <c r="A1927" s="207"/>
      <c r="B1927" s="208"/>
      <c r="C1927" s="212"/>
      <c r="D1927" s="270"/>
      <c r="E1927" s="208"/>
      <c r="F1927" s="208"/>
      <c r="G1927" s="208"/>
      <c r="H1927" s="209"/>
      <c r="I1927" s="210"/>
      <c r="J1927" s="210"/>
      <c r="K1927" s="260"/>
      <c r="L1927" s="260"/>
      <c r="M1927" s="260"/>
      <c r="N1927" s="260"/>
      <c r="O1927" s="260"/>
      <c r="P1927" s="211"/>
      <c r="Q1927" s="261"/>
      <c r="R1927" s="208" t="str">
        <f ca="1">IF(ISERROR($V1927),"",OFFSET('Smelter Look-up'!$C$4,$V1927-4,0)&amp;"")</f>
        <v/>
      </c>
      <c r="S1927" s="215" t="str">
        <f t="shared" ca="1" si="273"/>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si="274"/>
        <v>0</v>
      </c>
      <c r="Y1927" s="263"/>
      <c r="Z1927" s="263"/>
      <c r="AB1927" s="265" t="str">
        <f t="shared" si="275"/>
        <v/>
      </c>
    </row>
    <row r="1928" spans="1:28" s="264" customFormat="1" ht="20.399999999999999">
      <c r="A1928" s="207"/>
      <c r="B1928" s="208"/>
      <c r="C1928" s="212"/>
      <c r="D1928" s="270"/>
      <c r="E1928" s="208"/>
      <c r="F1928" s="208"/>
      <c r="G1928" s="208"/>
      <c r="H1928" s="209"/>
      <c r="I1928" s="210"/>
      <c r="J1928" s="210"/>
      <c r="K1928" s="260"/>
      <c r="L1928" s="260"/>
      <c r="M1928" s="260"/>
      <c r="N1928" s="260"/>
      <c r="O1928" s="260"/>
      <c r="P1928" s="211"/>
      <c r="Q1928" s="261"/>
      <c r="R1928" s="208" t="str">
        <f ca="1">IF(ISERROR($V1928),"",OFFSET('Smelter Look-up'!$C$4,$V1928-4,0)&amp;"")</f>
        <v/>
      </c>
      <c r="S1928" s="215" t="str">
        <f t="shared" ca="1" si="273"/>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si="274"/>
        <v>0</v>
      </c>
      <c r="Y1928" s="263"/>
      <c r="Z1928" s="263"/>
      <c r="AB1928" s="265" t="str">
        <f t="shared" si="275"/>
        <v/>
      </c>
    </row>
    <row r="1929" spans="1:28" s="264" customFormat="1" ht="20.399999999999999">
      <c r="A1929" s="207"/>
      <c r="B1929" s="208"/>
      <c r="C1929" s="212"/>
      <c r="D1929" s="270"/>
      <c r="E1929" s="208"/>
      <c r="F1929" s="208"/>
      <c r="G1929" s="208"/>
      <c r="H1929" s="209"/>
      <c r="I1929" s="210"/>
      <c r="J1929" s="210"/>
      <c r="K1929" s="260"/>
      <c r="L1929" s="260"/>
      <c r="M1929" s="260"/>
      <c r="N1929" s="260"/>
      <c r="O1929" s="260"/>
      <c r="P1929" s="211"/>
      <c r="Q1929" s="261"/>
      <c r="R1929" s="208" t="str">
        <f ca="1">IF(ISERROR($V1929),"",OFFSET('Smelter Look-up'!$C$4,$V1929-4,0)&amp;"")</f>
        <v/>
      </c>
      <c r="S1929" s="215" t="str">
        <f t="shared" ca="1" si="273"/>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si="274"/>
        <v>0</v>
      </c>
      <c r="Y1929" s="263"/>
      <c r="Z1929" s="263"/>
      <c r="AB1929" s="265" t="str">
        <f t="shared" si="275"/>
        <v/>
      </c>
    </row>
    <row r="1930" spans="1:28" s="264" customFormat="1" ht="20.399999999999999">
      <c r="A1930" s="207"/>
      <c r="B1930" s="208"/>
      <c r="C1930" s="212"/>
      <c r="D1930" s="270"/>
      <c r="E1930" s="208"/>
      <c r="F1930" s="208"/>
      <c r="G1930" s="208"/>
      <c r="H1930" s="209"/>
      <c r="I1930" s="210"/>
      <c r="J1930" s="210"/>
      <c r="K1930" s="260"/>
      <c r="L1930" s="260"/>
      <c r="M1930" s="260"/>
      <c r="N1930" s="260"/>
      <c r="O1930" s="260"/>
      <c r="P1930" s="211"/>
      <c r="Q1930" s="261"/>
      <c r="R1930" s="208" t="str">
        <f ca="1">IF(ISERROR($V1930),"",OFFSET('Smelter Look-up'!$C$4,$V1930-4,0)&amp;"")</f>
        <v/>
      </c>
      <c r="S1930" s="215" t="str">
        <f t="shared" ca="1" si="273"/>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si="274"/>
        <v>0</v>
      </c>
      <c r="Y1930" s="263"/>
      <c r="Z1930" s="263"/>
      <c r="AB1930" s="265" t="str">
        <f t="shared" si="275"/>
        <v/>
      </c>
    </row>
    <row r="1931" spans="1:28" s="264" customFormat="1" ht="20.399999999999999">
      <c r="A1931" s="207"/>
      <c r="B1931" s="208"/>
      <c r="C1931" s="212"/>
      <c r="D1931" s="270"/>
      <c r="E1931" s="208"/>
      <c r="F1931" s="208"/>
      <c r="G1931" s="208"/>
      <c r="H1931" s="209"/>
      <c r="I1931" s="210"/>
      <c r="J1931" s="210"/>
      <c r="K1931" s="260"/>
      <c r="L1931" s="260"/>
      <c r="M1931" s="260"/>
      <c r="N1931" s="260"/>
      <c r="O1931" s="260"/>
      <c r="P1931" s="211"/>
      <c r="Q1931" s="261"/>
      <c r="R1931" s="208" t="str">
        <f ca="1">IF(ISERROR($V1931),"",OFFSET('Smelter Look-up'!$C$4,$V1931-4,0)&amp;"")</f>
        <v/>
      </c>
      <c r="S1931" s="215" t="str">
        <f t="shared" ca="1" si="273"/>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si="274"/>
        <v>0</v>
      </c>
      <c r="Y1931" s="263"/>
      <c r="Z1931" s="263"/>
      <c r="AB1931" s="265" t="str">
        <f t="shared" si="275"/>
        <v/>
      </c>
    </row>
    <row r="1932" spans="1:28" s="264" customFormat="1" ht="20.399999999999999">
      <c r="A1932" s="207"/>
      <c r="B1932" s="208"/>
      <c r="C1932" s="212"/>
      <c r="D1932" s="270"/>
      <c r="E1932" s="208"/>
      <c r="F1932" s="208"/>
      <c r="G1932" s="208"/>
      <c r="H1932" s="209"/>
      <c r="I1932" s="210"/>
      <c r="J1932" s="210"/>
      <c r="K1932" s="260"/>
      <c r="L1932" s="260"/>
      <c r="M1932" s="260"/>
      <c r="N1932" s="260"/>
      <c r="O1932" s="260"/>
      <c r="P1932" s="211"/>
      <c r="Q1932" s="261"/>
      <c r="R1932" s="208" t="str">
        <f ca="1">IF(ISERROR($V1932),"",OFFSET('Smelter Look-up'!$C$4,$V1932-4,0)&amp;"")</f>
        <v/>
      </c>
      <c r="S1932" s="215" t="str">
        <f t="shared" ca="1" si="273"/>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si="274"/>
        <v>0</v>
      </c>
      <c r="Y1932" s="263"/>
      <c r="Z1932" s="263"/>
      <c r="AB1932" s="265" t="str">
        <f t="shared" si="275"/>
        <v/>
      </c>
    </row>
    <row r="1933" spans="1:28" s="264" customFormat="1" ht="20.399999999999999">
      <c r="A1933" s="207"/>
      <c r="B1933" s="208"/>
      <c r="C1933" s="212"/>
      <c r="D1933" s="270"/>
      <c r="E1933" s="208"/>
      <c r="F1933" s="208"/>
      <c r="G1933" s="208"/>
      <c r="H1933" s="209"/>
      <c r="I1933" s="210"/>
      <c r="J1933" s="210"/>
      <c r="K1933" s="260"/>
      <c r="L1933" s="260"/>
      <c r="M1933" s="260"/>
      <c r="N1933" s="260"/>
      <c r="O1933" s="260"/>
      <c r="P1933" s="211"/>
      <c r="Q1933" s="261"/>
      <c r="R1933" s="208" t="str">
        <f ca="1">IF(ISERROR($V1933),"",OFFSET('Smelter Look-up'!$C$4,$V1933-4,0)&amp;"")</f>
        <v/>
      </c>
      <c r="S1933" s="215" t="str">
        <f t="shared" ca="1" si="273"/>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si="274"/>
        <v>0</v>
      </c>
      <c r="Y1933" s="263"/>
      <c r="Z1933" s="263"/>
      <c r="AB1933" s="265" t="str">
        <f t="shared" si="275"/>
        <v/>
      </c>
    </row>
    <row r="1934" spans="1:28" s="264" customFormat="1" ht="20.399999999999999">
      <c r="A1934" s="207"/>
      <c r="B1934" s="208"/>
      <c r="C1934" s="212"/>
      <c r="D1934" s="270"/>
      <c r="E1934" s="208"/>
      <c r="F1934" s="208"/>
      <c r="G1934" s="208"/>
      <c r="H1934" s="209"/>
      <c r="I1934" s="210"/>
      <c r="J1934" s="210"/>
      <c r="K1934" s="260"/>
      <c r="L1934" s="260"/>
      <c r="M1934" s="260"/>
      <c r="N1934" s="260"/>
      <c r="O1934" s="260"/>
      <c r="P1934" s="211"/>
      <c r="Q1934" s="261"/>
      <c r="R1934" s="208" t="str">
        <f ca="1">IF(ISERROR($V1934),"",OFFSET('Smelter Look-up'!$C$4,$V1934-4,0)&amp;"")</f>
        <v/>
      </c>
      <c r="S1934" s="215" t="str">
        <f t="shared" ca="1" si="273"/>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si="274"/>
        <v>0</v>
      </c>
      <c r="Y1934" s="263"/>
      <c r="Z1934" s="263"/>
      <c r="AB1934" s="265" t="str">
        <f t="shared" si="275"/>
        <v/>
      </c>
    </row>
    <row r="1935" spans="1:28" s="264" customFormat="1" ht="20.399999999999999">
      <c r="A1935" s="207"/>
      <c r="B1935" s="208"/>
      <c r="C1935" s="212"/>
      <c r="D1935" s="270"/>
      <c r="E1935" s="208"/>
      <c r="F1935" s="208"/>
      <c r="G1935" s="208"/>
      <c r="H1935" s="209"/>
      <c r="I1935" s="210"/>
      <c r="J1935" s="210"/>
      <c r="K1935" s="260"/>
      <c r="L1935" s="260"/>
      <c r="M1935" s="260"/>
      <c r="N1935" s="260"/>
      <c r="O1935" s="260"/>
      <c r="P1935" s="211"/>
      <c r="Q1935" s="261"/>
      <c r="R1935" s="208" t="str">
        <f ca="1">IF(ISERROR($V1935),"",OFFSET('Smelter Look-up'!$C$4,$V1935-4,0)&amp;"")</f>
        <v/>
      </c>
      <c r="S1935" s="215" t="str">
        <f t="shared" ca="1" si="273"/>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si="274"/>
        <v>0</v>
      </c>
      <c r="Y1935" s="263"/>
      <c r="Z1935" s="263"/>
      <c r="AB1935" s="265" t="str">
        <f t="shared" si="275"/>
        <v/>
      </c>
    </row>
    <row r="1936" spans="1:28" s="264" customFormat="1" ht="20.399999999999999">
      <c r="A1936" s="207"/>
      <c r="B1936" s="208"/>
      <c r="C1936" s="212"/>
      <c r="D1936" s="270"/>
      <c r="E1936" s="208"/>
      <c r="F1936" s="208"/>
      <c r="G1936" s="208"/>
      <c r="H1936" s="209"/>
      <c r="I1936" s="210"/>
      <c r="J1936" s="210"/>
      <c r="K1936" s="260"/>
      <c r="L1936" s="260"/>
      <c r="M1936" s="260"/>
      <c r="N1936" s="260"/>
      <c r="O1936" s="260"/>
      <c r="P1936" s="211"/>
      <c r="Q1936" s="261"/>
      <c r="R1936" s="208" t="str">
        <f ca="1">IF(ISERROR($V1936),"",OFFSET('Smelter Look-up'!$C$4,$V1936-4,0)&amp;"")</f>
        <v/>
      </c>
      <c r="S1936" s="215" t="str">
        <f t="shared" ca="1" si="273"/>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si="274"/>
        <v>0</v>
      </c>
      <c r="Y1936" s="263"/>
      <c r="Z1936" s="263"/>
      <c r="AB1936" s="265" t="str">
        <f t="shared" si="275"/>
        <v/>
      </c>
    </row>
    <row r="1937" spans="1:28" s="264" customFormat="1" ht="20.399999999999999">
      <c r="A1937" s="207"/>
      <c r="B1937" s="208"/>
      <c r="C1937" s="212"/>
      <c r="D1937" s="270"/>
      <c r="E1937" s="208"/>
      <c r="F1937" s="208"/>
      <c r="G1937" s="208"/>
      <c r="H1937" s="209"/>
      <c r="I1937" s="210"/>
      <c r="J1937" s="210"/>
      <c r="K1937" s="260"/>
      <c r="L1937" s="260"/>
      <c r="M1937" s="260"/>
      <c r="N1937" s="260"/>
      <c r="O1937" s="260"/>
      <c r="P1937" s="211"/>
      <c r="Q1937" s="261"/>
      <c r="R1937" s="208" t="str">
        <f ca="1">IF(ISERROR($V1937),"",OFFSET('Smelter Look-up'!$C$4,$V1937-4,0)&amp;"")</f>
        <v/>
      </c>
      <c r="S1937" s="215" t="str">
        <f t="shared" ca="1" si="273"/>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si="274"/>
        <v>0</v>
      </c>
      <c r="Y1937" s="263"/>
      <c r="Z1937" s="263"/>
      <c r="AB1937" s="265" t="str">
        <f t="shared" si="275"/>
        <v/>
      </c>
    </row>
    <row r="1938" spans="1:28" s="264" customFormat="1" ht="20.399999999999999">
      <c r="A1938" s="207"/>
      <c r="B1938" s="208"/>
      <c r="C1938" s="212"/>
      <c r="D1938" s="270"/>
      <c r="E1938" s="208"/>
      <c r="F1938" s="208"/>
      <c r="G1938" s="208"/>
      <c r="H1938" s="209"/>
      <c r="I1938" s="210"/>
      <c r="J1938" s="210"/>
      <c r="K1938" s="260"/>
      <c r="L1938" s="260"/>
      <c r="M1938" s="260"/>
      <c r="N1938" s="260"/>
      <c r="O1938" s="260"/>
      <c r="P1938" s="211"/>
      <c r="Q1938" s="261"/>
      <c r="R1938" s="208" t="str">
        <f ca="1">IF(ISERROR($V1938),"",OFFSET('Smelter Look-up'!$C$4,$V1938-4,0)&amp;"")</f>
        <v/>
      </c>
      <c r="S1938" s="215" t="str">
        <f t="shared" ca="1" si="273"/>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si="274"/>
        <v>0</v>
      </c>
      <c r="Y1938" s="263"/>
      <c r="Z1938" s="263"/>
      <c r="AB1938" s="265" t="str">
        <f t="shared" si="275"/>
        <v/>
      </c>
    </row>
    <row r="1939" spans="1:28" s="264" customFormat="1" ht="20.399999999999999">
      <c r="A1939" s="207"/>
      <c r="B1939" s="208"/>
      <c r="C1939" s="212"/>
      <c r="D1939" s="270"/>
      <c r="E1939" s="208"/>
      <c r="F1939" s="208"/>
      <c r="G1939" s="208"/>
      <c r="H1939" s="209"/>
      <c r="I1939" s="210"/>
      <c r="J1939" s="210"/>
      <c r="K1939" s="260"/>
      <c r="L1939" s="260"/>
      <c r="M1939" s="260"/>
      <c r="N1939" s="260"/>
      <c r="O1939" s="260"/>
      <c r="P1939" s="211"/>
      <c r="Q1939" s="261"/>
      <c r="R1939" s="208" t="str">
        <f ca="1">IF(ISERROR($V1939),"",OFFSET('Smelter Look-up'!$C$4,$V1939-4,0)&amp;"")</f>
        <v/>
      </c>
      <c r="S1939" s="215" t="str">
        <f t="shared" ca="1" si="273"/>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si="274"/>
        <v>0</v>
      </c>
      <c r="Y1939" s="263"/>
      <c r="Z1939" s="263"/>
      <c r="AB1939" s="265" t="str">
        <f t="shared" si="275"/>
        <v/>
      </c>
    </row>
    <row r="1940" spans="1:28" s="264" customFormat="1" ht="20.399999999999999">
      <c r="A1940" s="207"/>
      <c r="B1940" s="208"/>
      <c r="C1940" s="212"/>
      <c r="D1940" s="270"/>
      <c r="E1940" s="208"/>
      <c r="F1940" s="208"/>
      <c r="G1940" s="208"/>
      <c r="H1940" s="209"/>
      <c r="I1940" s="210"/>
      <c r="J1940" s="210"/>
      <c r="K1940" s="260"/>
      <c r="L1940" s="260"/>
      <c r="M1940" s="260"/>
      <c r="N1940" s="260"/>
      <c r="O1940" s="260"/>
      <c r="P1940" s="211"/>
      <c r="Q1940" s="261"/>
      <c r="R1940" s="208" t="str">
        <f ca="1">IF(ISERROR($V1940),"",OFFSET('Smelter Look-up'!$C$4,$V1940-4,0)&amp;"")</f>
        <v/>
      </c>
      <c r="S1940" s="215" t="str">
        <f t="shared" ca="1" si="273"/>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si="274"/>
        <v>0</v>
      </c>
      <c r="Y1940" s="263"/>
      <c r="Z1940" s="263"/>
      <c r="AB1940" s="265" t="str">
        <f t="shared" si="275"/>
        <v/>
      </c>
    </row>
    <row r="1941" spans="1:28" s="264" customFormat="1" ht="20.399999999999999">
      <c r="A1941" s="207"/>
      <c r="B1941" s="208"/>
      <c r="C1941" s="212"/>
      <c r="D1941" s="270"/>
      <c r="E1941" s="208"/>
      <c r="F1941" s="208"/>
      <c r="G1941" s="208"/>
      <c r="H1941" s="209"/>
      <c r="I1941" s="210"/>
      <c r="J1941" s="210"/>
      <c r="K1941" s="260"/>
      <c r="L1941" s="260"/>
      <c r="M1941" s="260"/>
      <c r="N1941" s="260"/>
      <c r="O1941" s="260"/>
      <c r="P1941" s="211"/>
      <c r="Q1941" s="261"/>
      <c r="R1941" s="208" t="str">
        <f ca="1">IF(ISERROR($V1941),"",OFFSET('Smelter Look-up'!$C$4,$V1941-4,0)&amp;"")</f>
        <v/>
      </c>
      <c r="S1941" s="215" t="str">
        <f t="shared" ca="1" si="273"/>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si="274"/>
        <v>0</v>
      </c>
      <c r="Y1941" s="263"/>
      <c r="Z1941" s="263"/>
      <c r="AB1941" s="265" t="str">
        <f t="shared" si="275"/>
        <v/>
      </c>
    </row>
    <row r="1942" spans="1:28" s="264" customFormat="1" ht="20.399999999999999">
      <c r="A1942" s="207"/>
      <c r="B1942" s="208"/>
      <c r="C1942" s="212"/>
      <c r="D1942" s="270"/>
      <c r="E1942" s="208"/>
      <c r="F1942" s="208"/>
      <c r="G1942" s="208"/>
      <c r="H1942" s="209"/>
      <c r="I1942" s="210"/>
      <c r="J1942" s="210"/>
      <c r="K1942" s="260"/>
      <c r="L1942" s="260"/>
      <c r="M1942" s="260"/>
      <c r="N1942" s="260"/>
      <c r="O1942" s="260"/>
      <c r="P1942" s="211"/>
      <c r="Q1942" s="261"/>
      <c r="R1942" s="208" t="str">
        <f ca="1">IF(ISERROR($V1942),"",OFFSET('Smelter Look-up'!$C$4,$V1942-4,0)&amp;"")</f>
        <v/>
      </c>
      <c r="S1942" s="215" t="str">
        <f t="shared" ca="1" si="273"/>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si="274"/>
        <v>0</v>
      </c>
      <c r="Y1942" s="263"/>
      <c r="Z1942" s="263"/>
      <c r="AB1942" s="265" t="str">
        <f t="shared" si="275"/>
        <v/>
      </c>
    </row>
    <row r="1943" spans="1:28" s="264" customFormat="1" ht="20.399999999999999">
      <c r="A1943" s="207"/>
      <c r="B1943" s="208"/>
      <c r="C1943" s="212"/>
      <c r="D1943" s="270"/>
      <c r="E1943" s="208"/>
      <c r="F1943" s="208"/>
      <c r="G1943" s="208"/>
      <c r="H1943" s="209"/>
      <c r="I1943" s="210"/>
      <c r="J1943" s="210"/>
      <c r="K1943" s="260"/>
      <c r="L1943" s="260"/>
      <c r="M1943" s="260"/>
      <c r="N1943" s="260"/>
      <c r="O1943" s="260"/>
      <c r="P1943" s="211"/>
      <c r="Q1943" s="261"/>
      <c r="R1943" s="208" t="str">
        <f ca="1">IF(ISERROR($V1943),"",OFFSET('Smelter Look-up'!$C$4,$V1943-4,0)&amp;"")</f>
        <v/>
      </c>
      <c r="S1943" s="215" t="str">
        <f t="shared" ca="1" si="273"/>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si="274"/>
        <v>0</v>
      </c>
      <c r="Y1943" s="263"/>
      <c r="Z1943" s="263"/>
      <c r="AB1943" s="265" t="str">
        <f t="shared" si="275"/>
        <v/>
      </c>
    </row>
    <row r="1944" spans="1:28" s="264" customFormat="1" ht="20.399999999999999">
      <c r="A1944" s="207"/>
      <c r="B1944" s="208"/>
      <c r="C1944" s="212"/>
      <c r="D1944" s="270"/>
      <c r="E1944" s="208"/>
      <c r="F1944" s="208"/>
      <c r="G1944" s="208"/>
      <c r="H1944" s="209"/>
      <c r="I1944" s="210"/>
      <c r="J1944" s="210"/>
      <c r="K1944" s="260"/>
      <c r="L1944" s="260"/>
      <c r="M1944" s="260"/>
      <c r="N1944" s="260"/>
      <c r="O1944" s="260"/>
      <c r="P1944" s="211"/>
      <c r="Q1944" s="261"/>
      <c r="R1944" s="208" t="str">
        <f ca="1">IF(ISERROR($V1944),"",OFFSET('Smelter Look-up'!$C$4,$V1944-4,0)&amp;"")</f>
        <v/>
      </c>
      <c r="S1944" s="215" t="str">
        <f t="shared" ca="1" si="273"/>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si="274"/>
        <v>0</v>
      </c>
      <c r="Y1944" s="263"/>
      <c r="Z1944" s="263"/>
      <c r="AB1944" s="265" t="str">
        <f t="shared" si="275"/>
        <v/>
      </c>
    </row>
    <row r="1945" spans="1:28" s="264" customFormat="1" ht="20.399999999999999">
      <c r="A1945" s="207"/>
      <c r="B1945" s="208"/>
      <c r="C1945" s="212"/>
      <c r="D1945" s="270"/>
      <c r="E1945" s="208"/>
      <c r="F1945" s="208"/>
      <c r="G1945" s="208"/>
      <c r="H1945" s="209"/>
      <c r="I1945" s="210"/>
      <c r="J1945" s="210"/>
      <c r="K1945" s="260"/>
      <c r="L1945" s="260"/>
      <c r="M1945" s="260"/>
      <c r="N1945" s="260"/>
      <c r="O1945" s="260"/>
      <c r="P1945" s="211"/>
      <c r="Q1945" s="261"/>
      <c r="R1945" s="208" t="str">
        <f ca="1">IF(ISERROR($V1945),"",OFFSET('Smelter Look-up'!$C$4,$V1945-4,0)&amp;"")</f>
        <v/>
      </c>
      <c r="S1945" s="215" t="str">
        <f t="shared" ca="1" si="273"/>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si="274"/>
        <v>0</v>
      </c>
      <c r="Y1945" s="263"/>
      <c r="Z1945" s="263"/>
      <c r="AB1945" s="265" t="str">
        <f t="shared" si="275"/>
        <v/>
      </c>
    </row>
    <row r="1946" spans="1:28" s="264" customFormat="1" ht="20.399999999999999">
      <c r="A1946" s="207"/>
      <c r="B1946" s="208"/>
      <c r="C1946" s="212"/>
      <c r="D1946" s="270"/>
      <c r="E1946" s="208"/>
      <c r="F1946" s="208"/>
      <c r="G1946" s="208"/>
      <c r="H1946" s="209"/>
      <c r="I1946" s="210"/>
      <c r="J1946" s="210"/>
      <c r="K1946" s="260"/>
      <c r="L1946" s="260"/>
      <c r="M1946" s="260"/>
      <c r="N1946" s="260"/>
      <c r="O1946" s="260"/>
      <c r="P1946" s="211"/>
      <c r="Q1946" s="261"/>
      <c r="R1946" s="208" t="str">
        <f ca="1">IF(ISERROR($V1946),"",OFFSET('Smelter Look-up'!$C$4,$V1946-4,0)&amp;"")</f>
        <v/>
      </c>
      <c r="S1946" s="215" t="str">
        <f t="shared" ca="1" si="273"/>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si="274"/>
        <v>0</v>
      </c>
      <c r="Y1946" s="263"/>
      <c r="Z1946" s="263"/>
      <c r="AB1946" s="265" t="str">
        <f t="shared" si="275"/>
        <v/>
      </c>
    </row>
    <row r="1947" spans="1:28" s="264" customFormat="1" ht="20.399999999999999">
      <c r="A1947" s="207"/>
      <c r="B1947" s="208"/>
      <c r="C1947" s="212"/>
      <c r="D1947" s="270"/>
      <c r="E1947" s="208"/>
      <c r="F1947" s="208"/>
      <c r="G1947" s="208"/>
      <c r="H1947" s="209"/>
      <c r="I1947" s="210"/>
      <c r="J1947" s="210"/>
      <c r="K1947" s="260"/>
      <c r="L1947" s="260"/>
      <c r="M1947" s="260"/>
      <c r="N1947" s="260"/>
      <c r="O1947" s="260"/>
      <c r="P1947" s="211"/>
      <c r="Q1947" s="261"/>
      <c r="R1947" s="208" t="str">
        <f ca="1">IF(ISERROR($V1947),"",OFFSET('Smelter Look-up'!$C$4,$V1947-4,0)&amp;"")</f>
        <v/>
      </c>
      <c r="S1947" s="215" t="str">
        <f t="shared" ca="1" si="273"/>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si="274"/>
        <v>0</v>
      </c>
      <c r="Y1947" s="263"/>
      <c r="Z1947" s="263"/>
      <c r="AB1947" s="265" t="str">
        <f t="shared" si="275"/>
        <v/>
      </c>
    </row>
    <row r="1948" spans="1:28" s="264" customFormat="1" ht="20.399999999999999">
      <c r="A1948" s="207"/>
      <c r="B1948" s="208"/>
      <c r="C1948" s="212"/>
      <c r="D1948" s="270"/>
      <c r="E1948" s="208"/>
      <c r="F1948" s="208"/>
      <c r="G1948" s="208"/>
      <c r="H1948" s="209"/>
      <c r="I1948" s="210"/>
      <c r="J1948" s="210"/>
      <c r="K1948" s="260"/>
      <c r="L1948" s="260"/>
      <c r="M1948" s="260"/>
      <c r="N1948" s="260"/>
      <c r="O1948" s="260"/>
      <c r="P1948" s="211"/>
      <c r="Q1948" s="261"/>
      <c r="R1948" s="208" t="str">
        <f ca="1">IF(ISERROR($V1948),"",OFFSET('Smelter Look-up'!$C$4,$V1948-4,0)&amp;"")</f>
        <v/>
      </c>
      <c r="S1948" s="215" t="str">
        <f t="shared" ref="S1948:S1978" ca="1" si="276">IF(B1948="","",IF(ISERROR(MATCH($E1948,CL,0)),"Unknown",INDIRECT("'C'!$A$"&amp;MATCH($E1948,CL,0)+1)))</f>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ref="X1948:X1978" si="277">IF(AND(C1948="Smelter not listed",OR(LEN(D1948)=0,LEN(E1948)=0)),1,0)</f>
        <v>0</v>
      </c>
      <c r="Y1948" s="263"/>
      <c r="Z1948" s="263"/>
      <c r="AB1948" s="265" t="str">
        <f t="shared" ref="AB1948:AB1978" si="278">B1948&amp;C1948</f>
        <v/>
      </c>
    </row>
    <row r="1949" spans="1:28" s="264" customFormat="1" ht="20.399999999999999">
      <c r="A1949" s="207"/>
      <c r="B1949" s="208"/>
      <c r="C1949" s="212"/>
      <c r="D1949" s="270"/>
      <c r="E1949" s="208"/>
      <c r="F1949" s="208"/>
      <c r="G1949" s="208"/>
      <c r="H1949" s="209"/>
      <c r="I1949" s="210"/>
      <c r="J1949" s="210"/>
      <c r="K1949" s="260"/>
      <c r="L1949" s="260"/>
      <c r="M1949" s="260"/>
      <c r="N1949" s="260"/>
      <c r="O1949" s="260"/>
      <c r="P1949" s="211"/>
      <c r="Q1949" s="261"/>
      <c r="R1949" s="208" t="str">
        <f ca="1">IF(ISERROR($V1949),"",OFFSET('Smelter Look-up'!$C$4,$V1949-4,0)&amp;"")</f>
        <v/>
      </c>
      <c r="S1949" s="215" t="str">
        <f t="shared" ca="1" si="276"/>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si="277"/>
        <v>0</v>
      </c>
      <c r="Y1949" s="263"/>
      <c r="Z1949" s="263"/>
      <c r="AB1949" s="265" t="str">
        <f t="shared" si="278"/>
        <v/>
      </c>
    </row>
    <row r="1950" spans="1:28" s="264" customFormat="1" ht="20.399999999999999">
      <c r="A1950" s="207"/>
      <c r="B1950" s="208"/>
      <c r="C1950" s="212"/>
      <c r="D1950" s="270"/>
      <c r="E1950" s="208"/>
      <c r="F1950" s="208"/>
      <c r="G1950" s="208"/>
      <c r="H1950" s="209"/>
      <c r="I1950" s="210"/>
      <c r="J1950" s="210"/>
      <c r="K1950" s="260"/>
      <c r="L1950" s="260"/>
      <c r="M1950" s="260"/>
      <c r="N1950" s="260"/>
      <c r="O1950" s="260"/>
      <c r="P1950" s="211"/>
      <c r="Q1950" s="261"/>
      <c r="R1950" s="208" t="str">
        <f ca="1">IF(ISERROR($V1950),"",OFFSET('Smelter Look-up'!$C$4,$V1950-4,0)&amp;"")</f>
        <v/>
      </c>
      <c r="S1950" s="215" t="str">
        <f t="shared" ca="1" si="276"/>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si="277"/>
        <v>0</v>
      </c>
      <c r="Y1950" s="263"/>
      <c r="Z1950" s="263"/>
      <c r="AB1950" s="265" t="str">
        <f t="shared" si="278"/>
        <v/>
      </c>
    </row>
    <row r="1951" spans="1:28" s="264" customFormat="1" ht="20.399999999999999">
      <c r="A1951" s="207"/>
      <c r="B1951" s="208"/>
      <c r="C1951" s="212"/>
      <c r="D1951" s="270"/>
      <c r="E1951" s="208"/>
      <c r="F1951" s="208"/>
      <c r="G1951" s="208"/>
      <c r="H1951" s="209"/>
      <c r="I1951" s="210"/>
      <c r="J1951" s="210"/>
      <c r="K1951" s="260"/>
      <c r="L1951" s="260"/>
      <c r="M1951" s="260"/>
      <c r="N1951" s="260"/>
      <c r="O1951" s="260"/>
      <c r="P1951" s="211"/>
      <c r="Q1951" s="261"/>
      <c r="R1951" s="208" t="str">
        <f ca="1">IF(ISERROR($V1951),"",OFFSET('Smelter Look-up'!$C$4,$V1951-4,0)&amp;"")</f>
        <v/>
      </c>
      <c r="S1951" s="215" t="str">
        <f t="shared" ca="1" si="276"/>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si="277"/>
        <v>0</v>
      </c>
      <c r="Y1951" s="263"/>
      <c r="Z1951" s="263"/>
      <c r="AB1951" s="265" t="str">
        <f t="shared" si="278"/>
        <v/>
      </c>
    </row>
    <row r="1952" spans="1:28" s="264" customFormat="1" ht="20.399999999999999">
      <c r="A1952" s="207"/>
      <c r="B1952" s="208"/>
      <c r="C1952" s="212"/>
      <c r="D1952" s="270"/>
      <c r="E1952" s="208"/>
      <c r="F1952" s="208"/>
      <c r="G1952" s="208"/>
      <c r="H1952" s="209"/>
      <c r="I1952" s="210"/>
      <c r="J1952" s="210"/>
      <c r="K1952" s="260"/>
      <c r="L1952" s="260"/>
      <c r="M1952" s="260"/>
      <c r="N1952" s="260"/>
      <c r="O1952" s="260"/>
      <c r="P1952" s="211"/>
      <c r="Q1952" s="261"/>
      <c r="R1952" s="208" t="str">
        <f ca="1">IF(ISERROR($V1952),"",OFFSET('Smelter Look-up'!$C$4,$V1952-4,0)&amp;"")</f>
        <v/>
      </c>
      <c r="S1952" s="215" t="str">
        <f t="shared" ca="1" si="276"/>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si="277"/>
        <v>0</v>
      </c>
      <c r="Y1952" s="263"/>
      <c r="Z1952" s="263"/>
      <c r="AB1952" s="265" t="str">
        <f t="shared" si="278"/>
        <v/>
      </c>
    </row>
    <row r="1953" spans="1:28" s="264" customFormat="1" ht="20.399999999999999">
      <c r="A1953" s="207"/>
      <c r="B1953" s="208"/>
      <c r="C1953" s="212"/>
      <c r="D1953" s="270"/>
      <c r="E1953" s="208"/>
      <c r="F1953" s="208"/>
      <c r="G1953" s="208"/>
      <c r="H1953" s="209"/>
      <c r="I1953" s="210"/>
      <c r="J1953" s="210"/>
      <c r="K1953" s="260"/>
      <c r="L1953" s="260"/>
      <c r="M1953" s="260"/>
      <c r="N1953" s="260"/>
      <c r="O1953" s="260"/>
      <c r="P1953" s="211"/>
      <c r="Q1953" s="261"/>
      <c r="R1953" s="208" t="str">
        <f ca="1">IF(ISERROR($V1953),"",OFFSET('Smelter Look-up'!$C$4,$V1953-4,0)&amp;"")</f>
        <v/>
      </c>
      <c r="S1953" s="215" t="str">
        <f t="shared" ca="1" si="276"/>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si="277"/>
        <v>0</v>
      </c>
      <c r="Y1953" s="263"/>
      <c r="Z1953" s="263"/>
      <c r="AB1953" s="265" t="str">
        <f t="shared" si="278"/>
        <v/>
      </c>
    </row>
    <row r="1954" spans="1:28" s="264" customFormat="1" ht="20.399999999999999">
      <c r="A1954" s="207"/>
      <c r="B1954" s="208"/>
      <c r="C1954" s="212"/>
      <c r="D1954" s="270"/>
      <c r="E1954" s="208"/>
      <c r="F1954" s="208"/>
      <c r="G1954" s="208"/>
      <c r="H1954" s="209"/>
      <c r="I1954" s="210"/>
      <c r="J1954" s="210"/>
      <c r="K1954" s="260"/>
      <c r="L1954" s="260"/>
      <c r="M1954" s="260"/>
      <c r="N1954" s="260"/>
      <c r="O1954" s="260"/>
      <c r="P1954" s="211"/>
      <c r="Q1954" s="261"/>
      <c r="R1954" s="208" t="str">
        <f ca="1">IF(ISERROR($V1954),"",OFFSET('Smelter Look-up'!$C$4,$V1954-4,0)&amp;"")</f>
        <v/>
      </c>
      <c r="S1954" s="215" t="str">
        <f t="shared" ca="1" si="276"/>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si="277"/>
        <v>0</v>
      </c>
      <c r="Y1954" s="263"/>
      <c r="Z1954" s="263"/>
      <c r="AB1954" s="265" t="str">
        <f t="shared" si="278"/>
        <v/>
      </c>
    </row>
    <row r="1955" spans="1:28" s="264" customFormat="1" ht="20.399999999999999">
      <c r="A1955" s="207"/>
      <c r="B1955" s="208"/>
      <c r="C1955" s="212"/>
      <c r="D1955" s="270"/>
      <c r="E1955" s="208"/>
      <c r="F1955" s="208"/>
      <c r="G1955" s="208"/>
      <c r="H1955" s="209"/>
      <c r="I1955" s="210"/>
      <c r="J1955" s="210"/>
      <c r="K1955" s="260"/>
      <c r="L1955" s="260"/>
      <c r="M1955" s="260"/>
      <c r="N1955" s="260"/>
      <c r="O1955" s="260"/>
      <c r="P1955" s="211"/>
      <c r="Q1955" s="261"/>
      <c r="R1955" s="208" t="str">
        <f ca="1">IF(ISERROR($V1955),"",OFFSET('Smelter Look-up'!$C$4,$V1955-4,0)&amp;"")</f>
        <v/>
      </c>
      <c r="S1955" s="215" t="str">
        <f t="shared" ca="1" si="276"/>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si="277"/>
        <v>0</v>
      </c>
      <c r="Y1955" s="263"/>
      <c r="Z1955" s="263"/>
      <c r="AB1955" s="265" t="str">
        <f t="shared" si="278"/>
        <v/>
      </c>
    </row>
    <row r="1956" spans="1:28" s="264" customFormat="1" ht="20.399999999999999">
      <c r="A1956" s="207"/>
      <c r="B1956" s="208"/>
      <c r="C1956" s="212"/>
      <c r="D1956" s="270"/>
      <c r="E1956" s="208"/>
      <c r="F1956" s="208"/>
      <c r="G1956" s="208"/>
      <c r="H1956" s="209"/>
      <c r="I1956" s="210"/>
      <c r="J1956" s="210"/>
      <c r="K1956" s="260"/>
      <c r="L1956" s="260"/>
      <c r="M1956" s="260"/>
      <c r="N1956" s="260"/>
      <c r="O1956" s="260"/>
      <c r="P1956" s="211"/>
      <c r="Q1956" s="261"/>
      <c r="R1956" s="208" t="str">
        <f ca="1">IF(ISERROR($V1956),"",OFFSET('Smelter Look-up'!$C$4,$V1956-4,0)&amp;"")</f>
        <v/>
      </c>
      <c r="S1956" s="215" t="str">
        <f t="shared" ca="1" si="276"/>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si="277"/>
        <v>0</v>
      </c>
      <c r="Y1956" s="263"/>
      <c r="Z1956" s="263"/>
      <c r="AB1956" s="265" t="str">
        <f t="shared" si="278"/>
        <v/>
      </c>
    </row>
    <row r="1957" spans="1:28" s="264" customFormat="1" ht="20.399999999999999">
      <c r="A1957" s="207"/>
      <c r="B1957" s="208"/>
      <c r="C1957" s="212"/>
      <c r="D1957" s="270"/>
      <c r="E1957" s="208"/>
      <c r="F1957" s="208"/>
      <c r="G1957" s="208"/>
      <c r="H1957" s="209"/>
      <c r="I1957" s="210"/>
      <c r="J1957" s="210"/>
      <c r="K1957" s="260"/>
      <c r="L1957" s="260"/>
      <c r="M1957" s="260"/>
      <c r="N1957" s="260"/>
      <c r="O1957" s="260"/>
      <c r="P1957" s="211"/>
      <c r="Q1957" s="261"/>
      <c r="R1957" s="208" t="str">
        <f ca="1">IF(ISERROR($V1957),"",OFFSET('Smelter Look-up'!$C$4,$V1957-4,0)&amp;"")</f>
        <v/>
      </c>
      <c r="S1957" s="215" t="str">
        <f t="shared" ca="1" si="276"/>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si="277"/>
        <v>0</v>
      </c>
      <c r="Y1957" s="263"/>
      <c r="Z1957" s="263"/>
      <c r="AB1957" s="265" t="str">
        <f t="shared" si="278"/>
        <v/>
      </c>
    </row>
    <row r="1958" spans="1:28" s="264" customFormat="1" ht="20.399999999999999">
      <c r="A1958" s="207"/>
      <c r="B1958" s="208"/>
      <c r="C1958" s="212"/>
      <c r="D1958" s="270"/>
      <c r="E1958" s="208"/>
      <c r="F1958" s="208"/>
      <c r="G1958" s="208"/>
      <c r="H1958" s="209"/>
      <c r="I1958" s="210"/>
      <c r="J1958" s="210"/>
      <c r="K1958" s="260"/>
      <c r="L1958" s="260"/>
      <c r="M1958" s="260"/>
      <c r="N1958" s="260"/>
      <c r="O1958" s="260"/>
      <c r="P1958" s="211"/>
      <c r="Q1958" s="261"/>
      <c r="R1958" s="208" t="str">
        <f ca="1">IF(ISERROR($V1958),"",OFFSET('Smelter Look-up'!$C$4,$V1958-4,0)&amp;"")</f>
        <v/>
      </c>
      <c r="S1958" s="215" t="str">
        <f t="shared" ca="1" si="276"/>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si="277"/>
        <v>0</v>
      </c>
      <c r="Y1958" s="263"/>
      <c r="Z1958" s="263"/>
      <c r="AB1958" s="265" t="str">
        <f t="shared" si="278"/>
        <v/>
      </c>
    </row>
    <row r="1959" spans="1:28" s="264" customFormat="1" ht="20.399999999999999">
      <c r="A1959" s="207"/>
      <c r="B1959" s="208"/>
      <c r="C1959" s="212"/>
      <c r="D1959" s="270"/>
      <c r="E1959" s="208"/>
      <c r="F1959" s="208"/>
      <c r="G1959" s="208"/>
      <c r="H1959" s="209"/>
      <c r="I1959" s="210"/>
      <c r="J1959" s="210"/>
      <c r="K1959" s="260"/>
      <c r="L1959" s="260"/>
      <c r="M1959" s="260"/>
      <c r="N1959" s="260"/>
      <c r="O1959" s="260"/>
      <c r="P1959" s="211"/>
      <c r="Q1959" s="261"/>
      <c r="R1959" s="208" t="str">
        <f ca="1">IF(ISERROR($V1959),"",OFFSET('Smelter Look-up'!$C$4,$V1959-4,0)&amp;"")</f>
        <v/>
      </c>
      <c r="S1959" s="215" t="str">
        <f t="shared" ca="1" si="276"/>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si="277"/>
        <v>0</v>
      </c>
      <c r="Y1959" s="263"/>
      <c r="Z1959" s="263"/>
      <c r="AB1959" s="265" t="str">
        <f t="shared" si="278"/>
        <v/>
      </c>
    </row>
    <row r="1960" spans="1:28" s="264" customFormat="1" ht="20.399999999999999">
      <c r="A1960" s="207"/>
      <c r="B1960" s="208"/>
      <c r="C1960" s="212"/>
      <c r="D1960" s="270"/>
      <c r="E1960" s="208"/>
      <c r="F1960" s="208"/>
      <c r="G1960" s="208"/>
      <c r="H1960" s="209"/>
      <c r="I1960" s="210"/>
      <c r="J1960" s="210"/>
      <c r="K1960" s="260"/>
      <c r="L1960" s="260"/>
      <c r="M1960" s="260"/>
      <c r="N1960" s="260"/>
      <c r="O1960" s="260"/>
      <c r="P1960" s="211"/>
      <c r="Q1960" s="261"/>
      <c r="R1960" s="208" t="str">
        <f ca="1">IF(ISERROR($V1960),"",OFFSET('Smelter Look-up'!$C$4,$V1960-4,0)&amp;"")</f>
        <v/>
      </c>
      <c r="S1960" s="215" t="str">
        <f t="shared" ca="1" si="276"/>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si="277"/>
        <v>0</v>
      </c>
      <c r="Y1960" s="263"/>
      <c r="Z1960" s="263"/>
      <c r="AB1960" s="265" t="str">
        <f t="shared" si="278"/>
        <v/>
      </c>
    </row>
    <row r="1961" spans="1:28" s="264" customFormat="1" ht="20.399999999999999">
      <c r="A1961" s="207"/>
      <c r="B1961" s="208"/>
      <c r="C1961" s="212"/>
      <c r="D1961" s="270"/>
      <c r="E1961" s="208"/>
      <c r="F1961" s="208"/>
      <c r="G1961" s="208"/>
      <c r="H1961" s="209"/>
      <c r="I1961" s="210"/>
      <c r="J1961" s="210"/>
      <c r="K1961" s="260"/>
      <c r="L1961" s="260"/>
      <c r="M1961" s="260"/>
      <c r="N1961" s="260"/>
      <c r="O1961" s="260"/>
      <c r="P1961" s="211"/>
      <c r="Q1961" s="261"/>
      <c r="R1961" s="208" t="str">
        <f ca="1">IF(ISERROR($V1961),"",OFFSET('Smelter Look-up'!$C$4,$V1961-4,0)&amp;"")</f>
        <v/>
      </c>
      <c r="S1961" s="215" t="str">
        <f t="shared" ca="1" si="276"/>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si="277"/>
        <v>0</v>
      </c>
      <c r="Y1961" s="263"/>
      <c r="Z1961" s="263"/>
      <c r="AB1961" s="265" t="str">
        <f t="shared" si="278"/>
        <v/>
      </c>
    </row>
    <row r="1962" spans="1:28" s="264" customFormat="1" ht="20.399999999999999">
      <c r="A1962" s="207"/>
      <c r="B1962" s="208"/>
      <c r="C1962" s="212"/>
      <c r="D1962" s="270"/>
      <c r="E1962" s="208"/>
      <c r="F1962" s="208"/>
      <c r="G1962" s="208"/>
      <c r="H1962" s="209"/>
      <c r="I1962" s="210"/>
      <c r="J1962" s="210"/>
      <c r="K1962" s="260"/>
      <c r="L1962" s="260"/>
      <c r="M1962" s="260"/>
      <c r="N1962" s="260"/>
      <c r="O1962" s="260"/>
      <c r="P1962" s="211"/>
      <c r="Q1962" s="261"/>
      <c r="R1962" s="208" t="str">
        <f ca="1">IF(ISERROR($V1962),"",OFFSET('Smelter Look-up'!$C$4,$V1962-4,0)&amp;"")</f>
        <v/>
      </c>
      <c r="S1962" s="215" t="str">
        <f t="shared" ca="1" si="276"/>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si="277"/>
        <v>0</v>
      </c>
      <c r="Y1962" s="263"/>
      <c r="Z1962" s="263"/>
      <c r="AB1962" s="265" t="str">
        <f t="shared" si="278"/>
        <v/>
      </c>
    </row>
    <row r="1963" spans="1:28" s="264" customFormat="1" ht="20.399999999999999">
      <c r="A1963" s="207"/>
      <c r="B1963" s="208"/>
      <c r="C1963" s="212"/>
      <c r="D1963" s="270"/>
      <c r="E1963" s="208"/>
      <c r="F1963" s="208"/>
      <c r="G1963" s="208"/>
      <c r="H1963" s="209"/>
      <c r="I1963" s="210"/>
      <c r="J1963" s="210"/>
      <c r="K1963" s="260"/>
      <c r="L1963" s="260"/>
      <c r="M1963" s="260"/>
      <c r="N1963" s="260"/>
      <c r="O1963" s="260"/>
      <c r="P1963" s="211"/>
      <c r="Q1963" s="261"/>
      <c r="R1963" s="208" t="str">
        <f ca="1">IF(ISERROR($V1963),"",OFFSET('Smelter Look-up'!$C$4,$V1963-4,0)&amp;"")</f>
        <v/>
      </c>
      <c r="S1963" s="215" t="str">
        <f t="shared" ca="1" si="276"/>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si="277"/>
        <v>0</v>
      </c>
      <c r="Y1963" s="263"/>
      <c r="Z1963" s="263"/>
      <c r="AB1963" s="265" t="str">
        <f t="shared" si="278"/>
        <v/>
      </c>
    </row>
    <row r="1964" spans="1:28" s="264" customFormat="1" ht="20.399999999999999">
      <c r="A1964" s="207"/>
      <c r="B1964" s="208"/>
      <c r="C1964" s="212"/>
      <c r="D1964" s="270"/>
      <c r="E1964" s="208"/>
      <c r="F1964" s="208"/>
      <c r="G1964" s="208"/>
      <c r="H1964" s="209"/>
      <c r="I1964" s="210"/>
      <c r="J1964" s="210"/>
      <c r="K1964" s="260"/>
      <c r="L1964" s="260"/>
      <c r="M1964" s="260"/>
      <c r="N1964" s="260"/>
      <c r="O1964" s="260"/>
      <c r="P1964" s="211"/>
      <c r="Q1964" s="261"/>
      <c r="R1964" s="208" t="str">
        <f ca="1">IF(ISERROR($V1964),"",OFFSET('Smelter Look-up'!$C$4,$V1964-4,0)&amp;"")</f>
        <v/>
      </c>
      <c r="S1964" s="215" t="str">
        <f t="shared" ca="1" si="276"/>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si="277"/>
        <v>0</v>
      </c>
      <c r="Y1964" s="263"/>
      <c r="Z1964" s="263"/>
      <c r="AB1964" s="265" t="str">
        <f t="shared" si="278"/>
        <v/>
      </c>
    </row>
    <row r="1965" spans="1:28" s="264" customFormat="1" ht="20.399999999999999">
      <c r="A1965" s="207"/>
      <c r="B1965" s="208"/>
      <c r="C1965" s="212"/>
      <c r="D1965" s="270"/>
      <c r="E1965" s="208"/>
      <c r="F1965" s="208"/>
      <c r="G1965" s="208"/>
      <c r="H1965" s="209"/>
      <c r="I1965" s="210"/>
      <c r="J1965" s="210"/>
      <c r="K1965" s="260"/>
      <c r="L1965" s="260"/>
      <c r="M1965" s="260"/>
      <c r="N1965" s="260"/>
      <c r="O1965" s="260"/>
      <c r="P1965" s="211"/>
      <c r="Q1965" s="261"/>
      <c r="R1965" s="208" t="str">
        <f ca="1">IF(ISERROR($V1965),"",OFFSET('Smelter Look-up'!$C$4,$V1965-4,0)&amp;"")</f>
        <v/>
      </c>
      <c r="S1965" s="215" t="str">
        <f t="shared" ca="1" si="276"/>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si="277"/>
        <v>0</v>
      </c>
      <c r="Y1965" s="263"/>
      <c r="Z1965" s="263"/>
      <c r="AB1965" s="265" t="str">
        <f t="shared" si="278"/>
        <v/>
      </c>
    </row>
    <row r="1966" spans="1:28" s="264" customFormat="1" ht="20.399999999999999">
      <c r="A1966" s="207"/>
      <c r="B1966" s="208"/>
      <c r="C1966" s="212"/>
      <c r="D1966" s="270"/>
      <c r="E1966" s="208"/>
      <c r="F1966" s="208"/>
      <c r="G1966" s="208"/>
      <c r="H1966" s="209"/>
      <c r="I1966" s="210"/>
      <c r="J1966" s="210"/>
      <c r="K1966" s="260"/>
      <c r="L1966" s="260"/>
      <c r="M1966" s="260"/>
      <c r="N1966" s="260"/>
      <c r="O1966" s="260"/>
      <c r="P1966" s="211"/>
      <c r="Q1966" s="261"/>
      <c r="R1966" s="208" t="str">
        <f ca="1">IF(ISERROR($V1966),"",OFFSET('Smelter Look-up'!$C$4,$V1966-4,0)&amp;"")</f>
        <v/>
      </c>
      <c r="S1966" s="215" t="str">
        <f t="shared" ca="1" si="276"/>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si="277"/>
        <v>0</v>
      </c>
      <c r="Y1966" s="263"/>
      <c r="Z1966" s="263"/>
      <c r="AB1966" s="265" t="str">
        <f t="shared" si="278"/>
        <v/>
      </c>
    </row>
    <row r="1967" spans="1:28" s="264" customFormat="1" ht="20.399999999999999">
      <c r="A1967" s="207"/>
      <c r="B1967" s="208"/>
      <c r="C1967" s="212"/>
      <c r="D1967" s="270"/>
      <c r="E1967" s="208"/>
      <c r="F1967" s="208"/>
      <c r="G1967" s="208"/>
      <c r="H1967" s="209"/>
      <c r="I1967" s="210"/>
      <c r="J1967" s="210"/>
      <c r="K1967" s="260"/>
      <c r="L1967" s="260"/>
      <c r="M1967" s="260"/>
      <c r="N1967" s="260"/>
      <c r="O1967" s="260"/>
      <c r="P1967" s="211"/>
      <c r="Q1967" s="261"/>
      <c r="R1967" s="208" t="str">
        <f ca="1">IF(ISERROR($V1967),"",OFFSET('Smelter Look-up'!$C$4,$V1967-4,0)&amp;"")</f>
        <v/>
      </c>
      <c r="S1967" s="215" t="str">
        <f t="shared" ca="1" si="276"/>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si="277"/>
        <v>0</v>
      </c>
      <c r="Y1967" s="263"/>
      <c r="Z1967" s="263"/>
      <c r="AB1967" s="265" t="str">
        <f t="shared" si="278"/>
        <v/>
      </c>
    </row>
    <row r="1968" spans="1:28" s="264" customFormat="1" ht="20.399999999999999">
      <c r="A1968" s="207"/>
      <c r="B1968" s="208"/>
      <c r="C1968" s="212"/>
      <c r="D1968" s="270"/>
      <c r="E1968" s="208"/>
      <c r="F1968" s="208"/>
      <c r="G1968" s="208"/>
      <c r="H1968" s="209"/>
      <c r="I1968" s="210"/>
      <c r="J1968" s="210"/>
      <c r="K1968" s="260"/>
      <c r="L1968" s="260"/>
      <c r="M1968" s="260"/>
      <c r="N1968" s="260"/>
      <c r="O1968" s="260"/>
      <c r="P1968" s="211"/>
      <c r="Q1968" s="261"/>
      <c r="R1968" s="208" t="str">
        <f ca="1">IF(ISERROR($V1968),"",OFFSET('Smelter Look-up'!$C$4,$V1968-4,0)&amp;"")</f>
        <v/>
      </c>
      <c r="S1968" s="215" t="str">
        <f t="shared" ca="1" si="276"/>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si="277"/>
        <v>0</v>
      </c>
      <c r="Y1968" s="263"/>
      <c r="Z1968" s="263"/>
      <c r="AB1968" s="265" t="str">
        <f t="shared" si="278"/>
        <v/>
      </c>
    </row>
    <row r="1969" spans="1:28" s="264" customFormat="1" ht="20.399999999999999">
      <c r="A1969" s="207"/>
      <c r="B1969" s="208"/>
      <c r="C1969" s="212"/>
      <c r="D1969" s="270"/>
      <c r="E1969" s="208"/>
      <c r="F1969" s="208"/>
      <c r="G1969" s="208"/>
      <c r="H1969" s="209"/>
      <c r="I1969" s="210"/>
      <c r="J1969" s="210"/>
      <c r="K1969" s="260"/>
      <c r="L1969" s="260"/>
      <c r="M1969" s="260"/>
      <c r="N1969" s="260"/>
      <c r="O1969" s="260"/>
      <c r="P1969" s="211"/>
      <c r="Q1969" s="261"/>
      <c r="R1969" s="208" t="str">
        <f ca="1">IF(ISERROR($V1969),"",OFFSET('Smelter Look-up'!$C$4,$V1969-4,0)&amp;"")</f>
        <v/>
      </c>
      <c r="S1969" s="215" t="str">
        <f t="shared" ca="1" si="276"/>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si="277"/>
        <v>0</v>
      </c>
      <c r="Y1969" s="263"/>
      <c r="Z1969" s="263"/>
      <c r="AB1969" s="265" t="str">
        <f t="shared" si="278"/>
        <v/>
      </c>
    </row>
    <row r="1970" spans="1:28" s="264" customFormat="1" ht="20.399999999999999">
      <c r="A1970" s="207"/>
      <c r="B1970" s="208"/>
      <c r="C1970" s="212"/>
      <c r="D1970" s="270"/>
      <c r="E1970" s="208"/>
      <c r="F1970" s="208"/>
      <c r="G1970" s="208"/>
      <c r="H1970" s="209"/>
      <c r="I1970" s="210"/>
      <c r="J1970" s="210"/>
      <c r="K1970" s="260"/>
      <c r="L1970" s="260"/>
      <c r="M1970" s="260"/>
      <c r="N1970" s="260"/>
      <c r="O1970" s="260"/>
      <c r="P1970" s="211"/>
      <c r="Q1970" s="261"/>
      <c r="R1970" s="208" t="str">
        <f ca="1">IF(ISERROR($V1970),"",OFFSET('Smelter Look-up'!$C$4,$V1970-4,0)&amp;"")</f>
        <v/>
      </c>
      <c r="S1970" s="215" t="str">
        <f t="shared" ca="1" si="276"/>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si="277"/>
        <v>0</v>
      </c>
      <c r="Y1970" s="263"/>
      <c r="Z1970" s="263"/>
      <c r="AB1970" s="265" t="str">
        <f t="shared" si="278"/>
        <v/>
      </c>
    </row>
    <row r="1971" spans="1:28" s="264" customFormat="1" ht="20.399999999999999">
      <c r="A1971" s="207"/>
      <c r="B1971" s="208"/>
      <c r="C1971" s="212"/>
      <c r="D1971" s="270"/>
      <c r="E1971" s="208"/>
      <c r="F1971" s="208"/>
      <c r="G1971" s="208"/>
      <c r="H1971" s="209"/>
      <c r="I1971" s="210"/>
      <c r="J1971" s="210"/>
      <c r="K1971" s="260"/>
      <c r="L1971" s="260"/>
      <c r="M1971" s="260"/>
      <c r="N1971" s="260"/>
      <c r="O1971" s="260"/>
      <c r="P1971" s="211"/>
      <c r="Q1971" s="261"/>
      <c r="R1971" s="208" t="str">
        <f ca="1">IF(ISERROR($V1971),"",OFFSET('Smelter Look-up'!$C$4,$V1971-4,0)&amp;"")</f>
        <v/>
      </c>
      <c r="S1971" s="215" t="str">
        <f t="shared" ca="1" si="276"/>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si="277"/>
        <v>0</v>
      </c>
      <c r="Y1971" s="263"/>
      <c r="Z1971" s="263"/>
      <c r="AB1971" s="265" t="str">
        <f t="shared" si="278"/>
        <v/>
      </c>
    </row>
    <row r="1972" spans="1:28" s="264" customFormat="1" ht="20.399999999999999">
      <c r="A1972" s="207"/>
      <c r="B1972" s="208"/>
      <c r="C1972" s="212"/>
      <c r="D1972" s="270"/>
      <c r="E1972" s="208"/>
      <c r="F1972" s="208"/>
      <c r="G1972" s="208"/>
      <c r="H1972" s="209"/>
      <c r="I1972" s="210"/>
      <c r="J1972" s="210"/>
      <c r="K1972" s="260"/>
      <c r="L1972" s="260"/>
      <c r="M1972" s="260"/>
      <c r="N1972" s="260"/>
      <c r="O1972" s="260"/>
      <c r="P1972" s="211"/>
      <c r="Q1972" s="261"/>
      <c r="R1972" s="208" t="str">
        <f ca="1">IF(ISERROR($V1972),"",OFFSET('Smelter Look-up'!$C$4,$V1972-4,0)&amp;"")</f>
        <v/>
      </c>
      <c r="S1972" s="215" t="str">
        <f t="shared" ca="1" si="276"/>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si="277"/>
        <v>0</v>
      </c>
      <c r="Y1972" s="263"/>
      <c r="Z1972" s="263"/>
      <c r="AB1972" s="265" t="str">
        <f t="shared" si="278"/>
        <v/>
      </c>
    </row>
    <row r="1973" spans="1:28" s="264" customFormat="1" ht="20.399999999999999">
      <c r="A1973" s="207"/>
      <c r="B1973" s="208"/>
      <c r="C1973" s="212"/>
      <c r="D1973" s="270"/>
      <c r="E1973" s="208"/>
      <c r="F1973" s="208"/>
      <c r="G1973" s="208"/>
      <c r="H1973" s="209"/>
      <c r="I1973" s="210"/>
      <c r="J1973" s="210"/>
      <c r="K1973" s="260"/>
      <c r="L1973" s="260"/>
      <c r="M1973" s="260"/>
      <c r="N1973" s="260"/>
      <c r="O1973" s="260"/>
      <c r="P1973" s="211"/>
      <c r="Q1973" s="261"/>
      <c r="R1973" s="208" t="str">
        <f ca="1">IF(ISERROR($V1973),"",OFFSET('Smelter Look-up'!$C$4,$V1973-4,0)&amp;"")</f>
        <v/>
      </c>
      <c r="S1973" s="215" t="str">
        <f t="shared" ca="1" si="276"/>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si="277"/>
        <v>0</v>
      </c>
      <c r="Y1973" s="263"/>
      <c r="Z1973" s="263"/>
      <c r="AB1973" s="265" t="str">
        <f t="shared" si="278"/>
        <v/>
      </c>
    </row>
    <row r="1974" spans="1:28" s="264" customFormat="1" ht="20.399999999999999">
      <c r="A1974" s="207"/>
      <c r="B1974" s="208"/>
      <c r="C1974" s="212"/>
      <c r="D1974" s="270"/>
      <c r="E1974" s="208"/>
      <c r="F1974" s="208"/>
      <c r="G1974" s="208"/>
      <c r="H1974" s="209"/>
      <c r="I1974" s="210"/>
      <c r="J1974" s="210"/>
      <c r="K1974" s="260"/>
      <c r="L1974" s="260"/>
      <c r="M1974" s="260"/>
      <c r="N1974" s="260"/>
      <c r="O1974" s="260"/>
      <c r="P1974" s="211"/>
      <c r="Q1974" s="261"/>
      <c r="R1974" s="208" t="str">
        <f ca="1">IF(ISERROR($V1974),"",OFFSET('Smelter Look-up'!$C$4,$V1974-4,0)&amp;"")</f>
        <v/>
      </c>
      <c r="S1974" s="215" t="str">
        <f t="shared" ca="1" si="276"/>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si="277"/>
        <v>0</v>
      </c>
      <c r="Y1974" s="263"/>
      <c r="Z1974" s="263"/>
      <c r="AB1974" s="265" t="str">
        <f t="shared" si="278"/>
        <v/>
      </c>
    </row>
    <row r="1975" spans="1:28" s="264" customFormat="1" ht="20.399999999999999">
      <c r="A1975" s="207"/>
      <c r="B1975" s="208"/>
      <c r="C1975" s="212"/>
      <c r="D1975" s="270"/>
      <c r="E1975" s="208"/>
      <c r="F1975" s="208"/>
      <c r="G1975" s="208"/>
      <c r="H1975" s="209"/>
      <c r="I1975" s="210"/>
      <c r="J1975" s="210"/>
      <c r="K1975" s="260"/>
      <c r="L1975" s="260"/>
      <c r="M1975" s="260"/>
      <c r="N1975" s="260"/>
      <c r="O1975" s="260"/>
      <c r="P1975" s="211"/>
      <c r="Q1975" s="261"/>
      <c r="R1975" s="208" t="str">
        <f ca="1">IF(ISERROR($V1975),"",OFFSET('Smelter Look-up'!$C$4,$V1975-4,0)&amp;"")</f>
        <v/>
      </c>
      <c r="S1975" s="215" t="str">
        <f t="shared" ca="1" si="276"/>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si="277"/>
        <v>0</v>
      </c>
      <c r="Y1975" s="263"/>
      <c r="Z1975" s="263"/>
      <c r="AB1975" s="265" t="str">
        <f t="shared" si="278"/>
        <v/>
      </c>
    </row>
    <row r="1976" spans="1:28" s="264" customFormat="1" ht="20.399999999999999">
      <c r="A1976" s="207"/>
      <c r="B1976" s="208"/>
      <c r="C1976" s="212"/>
      <c r="D1976" s="270"/>
      <c r="E1976" s="208"/>
      <c r="F1976" s="208"/>
      <c r="G1976" s="208"/>
      <c r="H1976" s="209"/>
      <c r="I1976" s="210"/>
      <c r="J1976" s="210"/>
      <c r="K1976" s="260"/>
      <c r="L1976" s="260"/>
      <c r="M1976" s="260"/>
      <c r="N1976" s="260"/>
      <c r="O1976" s="260"/>
      <c r="P1976" s="211"/>
      <c r="Q1976" s="261"/>
      <c r="R1976" s="208" t="str">
        <f ca="1">IF(ISERROR($V1976),"",OFFSET('Smelter Look-up'!$C$4,$V1976-4,0)&amp;"")</f>
        <v/>
      </c>
      <c r="S1976" s="215" t="str">
        <f t="shared" ca="1" si="276"/>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si="277"/>
        <v>0</v>
      </c>
      <c r="Y1976" s="263"/>
      <c r="Z1976" s="263"/>
      <c r="AB1976" s="265" t="str">
        <f t="shared" si="278"/>
        <v/>
      </c>
    </row>
    <row r="1977" spans="1:28" s="264" customFormat="1" ht="20.399999999999999">
      <c r="A1977" s="207"/>
      <c r="B1977" s="208"/>
      <c r="C1977" s="212"/>
      <c r="D1977" s="270"/>
      <c r="E1977" s="208"/>
      <c r="F1977" s="208"/>
      <c r="G1977" s="208"/>
      <c r="H1977" s="209"/>
      <c r="I1977" s="210"/>
      <c r="J1977" s="210"/>
      <c r="K1977" s="260"/>
      <c r="L1977" s="260"/>
      <c r="M1977" s="260"/>
      <c r="N1977" s="260"/>
      <c r="O1977" s="260"/>
      <c r="P1977" s="211"/>
      <c r="Q1977" s="261"/>
      <c r="R1977" s="208" t="str">
        <f ca="1">IF(ISERROR($V1977),"",OFFSET('Smelter Look-up'!$C$4,$V1977-4,0)&amp;"")</f>
        <v/>
      </c>
      <c r="S1977" s="215" t="str">
        <f t="shared" ca="1" si="276"/>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si="277"/>
        <v>0</v>
      </c>
      <c r="Y1977" s="263"/>
      <c r="Z1977" s="263"/>
      <c r="AB1977" s="265" t="str">
        <f t="shared" si="278"/>
        <v/>
      </c>
    </row>
    <row r="1978" spans="1:28" s="264" customFormat="1" ht="20.399999999999999">
      <c r="A1978" s="207"/>
      <c r="B1978" s="208"/>
      <c r="C1978" s="212"/>
      <c r="D1978" s="270"/>
      <c r="E1978" s="208"/>
      <c r="F1978" s="208"/>
      <c r="G1978" s="208"/>
      <c r="H1978" s="209"/>
      <c r="I1978" s="210"/>
      <c r="J1978" s="210"/>
      <c r="K1978" s="260"/>
      <c r="L1978" s="260"/>
      <c r="M1978" s="260"/>
      <c r="N1978" s="260"/>
      <c r="O1978" s="260"/>
      <c r="P1978" s="211"/>
      <c r="Q1978" s="261"/>
      <c r="R1978" s="208" t="str">
        <f ca="1">IF(ISERROR($V1978),"",OFFSET('Smelter Look-up'!$C$4,$V1978-4,0)&amp;"")</f>
        <v/>
      </c>
      <c r="S1978" s="215" t="str">
        <f t="shared" ca="1" si="276"/>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si="277"/>
        <v>0</v>
      </c>
      <c r="Y1978" s="263"/>
      <c r="Z1978" s="263"/>
      <c r="AB1978" s="265" t="str">
        <f t="shared" si="278"/>
        <v/>
      </c>
    </row>
    <row r="1979" spans="1:28" s="264" customFormat="1" ht="20.399999999999999">
      <c r="A1979" s="207"/>
      <c r="B1979" s="208"/>
      <c r="C1979" s="212"/>
      <c r="D1979" s="270"/>
      <c r="E1979" s="208"/>
      <c r="F1979" s="208"/>
      <c r="G1979" s="208"/>
      <c r="H1979" s="209"/>
      <c r="I1979" s="210"/>
      <c r="J1979" s="210"/>
      <c r="K1979" s="260"/>
      <c r="L1979" s="260"/>
      <c r="M1979" s="260"/>
      <c r="N1979" s="260"/>
      <c r="O1979" s="260"/>
      <c r="P1979" s="211"/>
      <c r="Q1979" s="261"/>
      <c r="R1979" s="208" t="str">
        <f ca="1">IF(ISERROR($V1979),"",OFFSET('Smelter Look-up'!$C$4,$V1979-4,0)&amp;"")</f>
        <v/>
      </c>
      <c r="S1979" s="215" t="str">
        <f t="shared" ref="S1979" ca="1" si="279">IF(B1979="","",IF(ISERROR(MATCH($E1979,CL,0)),"Unknown",INDIRECT("'C'!$A$"&amp;MATCH($E1979,CL,0)+1)))</f>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ref="X1979" si="280">IF(AND(C1979="Smelter not listed",OR(LEN(D1979)=0,LEN(E1979)=0)),1,0)</f>
        <v>0</v>
      </c>
      <c r="Y1979" s="263"/>
      <c r="Z1979" s="263"/>
      <c r="AB1979" s="265" t="str">
        <f t="shared" ref="AB1979" si="281">B1979&amp;C1979</f>
        <v/>
      </c>
    </row>
    <row r="1980" spans="1:28" s="264" customFormat="1" ht="20.399999999999999">
      <c r="A1980" s="207"/>
      <c r="B1980" s="208"/>
      <c r="C1980" s="212"/>
      <c r="D1980" s="270"/>
      <c r="E1980" s="208"/>
      <c r="F1980" s="208"/>
      <c r="G1980" s="208"/>
      <c r="H1980" s="209"/>
      <c r="I1980" s="210"/>
      <c r="J1980" s="210"/>
      <c r="K1980" s="260"/>
      <c r="L1980" s="260"/>
      <c r="M1980" s="260"/>
      <c r="N1980" s="260"/>
      <c r="O1980" s="260"/>
      <c r="P1980" s="211"/>
      <c r="Q1980" s="261"/>
      <c r="R1980" s="208" t="str">
        <f ca="1">IF(ISERROR($V1980),"",OFFSET('Smelter Look-up'!$C$4,$V1980-4,0)&amp;"")</f>
        <v/>
      </c>
      <c r="S1980" s="215" t="str">
        <f t="shared" ref="S1980:S2011" ca="1" si="282">IF(B1980="","",IF(ISERROR(MATCH($E1980,CL,0)),"Unknown",INDIRECT("'C'!$A$"&amp;MATCH($E1980,CL,0)+1)))</f>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ref="X1980:X2011" si="283">IF(AND(C1980="Smelter not listed",OR(LEN(D1980)=0,LEN(E1980)=0)),1,0)</f>
        <v>0</v>
      </c>
      <c r="Y1980" s="263"/>
      <c r="Z1980" s="263"/>
      <c r="AB1980" s="265" t="str">
        <f t="shared" ref="AB1980:AB2011" si="284">B1980&amp;C1980</f>
        <v/>
      </c>
    </row>
    <row r="1981" spans="1:28" s="264" customFormat="1" ht="20.399999999999999">
      <c r="A1981" s="207"/>
      <c r="B1981" s="208"/>
      <c r="C1981" s="212"/>
      <c r="D1981" s="270"/>
      <c r="E1981" s="208"/>
      <c r="F1981" s="208"/>
      <c r="G1981" s="208"/>
      <c r="H1981" s="209"/>
      <c r="I1981" s="210"/>
      <c r="J1981" s="210"/>
      <c r="K1981" s="260"/>
      <c r="L1981" s="260"/>
      <c r="M1981" s="260"/>
      <c r="N1981" s="260"/>
      <c r="O1981" s="260"/>
      <c r="P1981" s="211"/>
      <c r="Q1981" s="261"/>
      <c r="R1981" s="208" t="str">
        <f ca="1">IF(ISERROR($V1981),"",OFFSET('Smelter Look-up'!$C$4,$V1981-4,0)&amp;"")</f>
        <v/>
      </c>
      <c r="S1981" s="215" t="str">
        <f t="shared" ca="1" si="282"/>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si="283"/>
        <v>0</v>
      </c>
      <c r="Y1981" s="263"/>
      <c r="Z1981" s="263"/>
      <c r="AB1981" s="265" t="str">
        <f t="shared" si="284"/>
        <v/>
      </c>
    </row>
    <row r="1982" spans="1:28" s="264" customFormat="1" ht="20.399999999999999">
      <c r="A1982" s="207"/>
      <c r="B1982" s="208"/>
      <c r="C1982" s="212"/>
      <c r="D1982" s="270"/>
      <c r="E1982" s="208"/>
      <c r="F1982" s="208"/>
      <c r="G1982" s="208"/>
      <c r="H1982" s="209"/>
      <c r="I1982" s="210"/>
      <c r="J1982" s="210"/>
      <c r="K1982" s="260"/>
      <c r="L1982" s="260"/>
      <c r="M1982" s="260"/>
      <c r="N1982" s="260"/>
      <c r="O1982" s="260"/>
      <c r="P1982" s="211"/>
      <c r="Q1982" s="261"/>
      <c r="R1982" s="208" t="str">
        <f ca="1">IF(ISERROR($V1982),"",OFFSET('Smelter Look-up'!$C$4,$V1982-4,0)&amp;"")</f>
        <v/>
      </c>
      <c r="S1982" s="215" t="str">
        <f t="shared" ca="1" si="282"/>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si="283"/>
        <v>0</v>
      </c>
      <c r="Y1982" s="263"/>
      <c r="Z1982" s="263"/>
      <c r="AB1982" s="265" t="str">
        <f t="shared" si="284"/>
        <v/>
      </c>
    </row>
    <row r="1983" spans="1:28" s="264" customFormat="1" ht="20.399999999999999">
      <c r="A1983" s="207"/>
      <c r="B1983" s="208"/>
      <c r="C1983" s="212"/>
      <c r="D1983" s="270"/>
      <c r="E1983" s="208"/>
      <c r="F1983" s="208"/>
      <c r="G1983" s="208"/>
      <c r="H1983" s="209"/>
      <c r="I1983" s="210"/>
      <c r="J1983" s="210"/>
      <c r="K1983" s="260"/>
      <c r="L1983" s="260"/>
      <c r="M1983" s="260"/>
      <c r="N1983" s="260"/>
      <c r="O1983" s="260"/>
      <c r="P1983" s="211"/>
      <c r="Q1983" s="261"/>
      <c r="R1983" s="208" t="str">
        <f ca="1">IF(ISERROR($V1983),"",OFFSET('Smelter Look-up'!$C$4,$V1983-4,0)&amp;"")</f>
        <v/>
      </c>
      <c r="S1983" s="215" t="str">
        <f t="shared" ca="1" si="282"/>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si="283"/>
        <v>0</v>
      </c>
      <c r="Y1983" s="263"/>
      <c r="Z1983" s="263"/>
      <c r="AB1983" s="265" t="str">
        <f t="shared" si="284"/>
        <v/>
      </c>
    </row>
    <row r="1984" spans="1:28" s="264" customFormat="1" ht="20.399999999999999">
      <c r="A1984" s="207"/>
      <c r="B1984" s="208"/>
      <c r="C1984" s="212"/>
      <c r="D1984" s="270"/>
      <c r="E1984" s="208"/>
      <c r="F1984" s="208"/>
      <c r="G1984" s="208"/>
      <c r="H1984" s="209"/>
      <c r="I1984" s="210"/>
      <c r="J1984" s="210"/>
      <c r="K1984" s="260"/>
      <c r="L1984" s="260"/>
      <c r="M1984" s="260"/>
      <c r="N1984" s="260"/>
      <c r="O1984" s="260"/>
      <c r="P1984" s="211"/>
      <c r="Q1984" s="261"/>
      <c r="R1984" s="208" t="str">
        <f ca="1">IF(ISERROR($V1984),"",OFFSET('Smelter Look-up'!$C$4,$V1984-4,0)&amp;"")</f>
        <v/>
      </c>
      <c r="S1984" s="215" t="str">
        <f t="shared" ca="1" si="282"/>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si="283"/>
        <v>0</v>
      </c>
      <c r="Y1984" s="263"/>
      <c r="Z1984" s="263"/>
      <c r="AB1984" s="265" t="str">
        <f t="shared" si="284"/>
        <v/>
      </c>
    </row>
    <row r="1985" spans="1:28" s="264" customFormat="1" ht="20.399999999999999">
      <c r="A1985" s="207"/>
      <c r="B1985" s="208"/>
      <c r="C1985" s="212"/>
      <c r="D1985" s="270"/>
      <c r="E1985" s="208"/>
      <c r="F1985" s="208"/>
      <c r="G1985" s="208"/>
      <c r="H1985" s="209"/>
      <c r="I1985" s="210"/>
      <c r="J1985" s="210"/>
      <c r="K1985" s="260"/>
      <c r="L1985" s="260"/>
      <c r="M1985" s="260"/>
      <c r="N1985" s="260"/>
      <c r="O1985" s="260"/>
      <c r="P1985" s="211"/>
      <c r="Q1985" s="261"/>
      <c r="R1985" s="208" t="str">
        <f ca="1">IF(ISERROR($V1985),"",OFFSET('Smelter Look-up'!$C$4,$V1985-4,0)&amp;"")</f>
        <v/>
      </c>
      <c r="S1985" s="215" t="str">
        <f t="shared" ca="1" si="282"/>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si="283"/>
        <v>0</v>
      </c>
      <c r="Y1985" s="263"/>
      <c r="Z1985" s="263"/>
      <c r="AB1985" s="265" t="str">
        <f t="shared" si="284"/>
        <v/>
      </c>
    </row>
    <row r="1986" spans="1:28" s="264" customFormat="1" ht="20.399999999999999">
      <c r="A1986" s="207"/>
      <c r="B1986" s="208"/>
      <c r="C1986" s="212"/>
      <c r="D1986" s="270"/>
      <c r="E1986" s="208"/>
      <c r="F1986" s="208"/>
      <c r="G1986" s="208"/>
      <c r="H1986" s="209"/>
      <c r="I1986" s="210"/>
      <c r="J1986" s="210"/>
      <c r="K1986" s="260"/>
      <c r="L1986" s="260"/>
      <c r="M1986" s="260"/>
      <c r="N1986" s="260"/>
      <c r="O1986" s="260"/>
      <c r="P1986" s="211"/>
      <c r="Q1986" s="261"/>
      <c r="R1986" s="208" t="str">
        <f ca="1">IF(ISERROR($V1986),"",OFFSET('Smelter Look-up'!$C$4,$V1986-4,0)&amp;"")</f>
        <v/>
      </c>
      <c r="S1986" s="215" t="str">
        <f t="shared" ca="1" si="282"/>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si="283"/>
        <v>0</v>
      </c>
      <c r="Y1986" s="263"/>
      <c r="Z1986" s="263"/>
      <c r="AB1986" s="265" t="str">
        <f t="shared" si="284"/>
        <v/>
      </c>
    </row>
    <row r="1987" spans="1:28" s="264" customFormat="1" ht="20.399999999999999">
      <c r="A1987" s="207"/>
      <c r="B1987" s="208"/>
      <c r="C1987" s="212"/>
      <c r="D1987" s="270"/>
      <c r="E1987" s="208"/>
      <c r="F1987" s="208"/>
      <c r="G1987" s="208"/>
      <c r="H1987" s="209"/>
      <c r="I1987" s="210"/>
      <c r="J1987" s="210"/>
      <c r="K1987" s="260"/>
      <c r="L1987" s="260"/>
      <c r="M1987" s="260"/>
      <c r="N1987" s="260"/>
      <c r="O1987" s="260"/>
      <c r="P1987" s="211"/>
      <c r="Q1987" s="261"/>
      <c r="R1987" s="208" t="str">
        <f ca="1">IF(ISERROR($V1987),"",OFFSET('Smelter Look-up'!$C$4,$V1987-4,0)&amp;"")</f>
        <v/>
      </c>
      <c r="S1987" s="215" t="str">
        <f t="shared" ca="1" si="282"/>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si="283"/>
        <v>0</v>
      </c>
      <c r="Y1987" s="263"/>
      <c r="Z1987" s="263"/>
      <c r="AB1987" s="265" t="str">
        <f t="shared" si="284"/>
        <v/>
      </c>
    </row>
    <row r="1988" spans="1:28" s="264" customFormat="1" ht="20.399999999999999">
      <c r="A1988" s="207"/>
      <c r="B1988" s="208"/>
      <c r="C1988" s="212"/>
      <c r="D1988" s="270"/>
      <c r="E1988" s="208"/>
      <c r="F1988" s="208"/>
      <c r="G1988" s="208"/>
      <c r="H1988" s="209"/>
      <c r="I1988" s="210"/>
      <c r="J1988" s="210"/>
      <c r="K1988" s="260"/>
      <c r="L1988" s="260"/>
      <c r="M1988" s="260"/>
      <c r="N1988" s="260"/>
      <c r="O1988" s="260"/>
      <c r="P1988" s="211"/>
      <c r="Q1988" s="261"/>
      <c r="R1988" s="208" t="str">
        <f ca="1">IF(ISERROR($V1988),"",OFFSET('Smelter Look-up'!$C$4,$V1988-4,0)&amp;"")</f>
        <v/>
      </c>
      <c r="S1988" s="215" t="str">
        <f t="shared" ca="1" si="282"/>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si="283"/>
        <v>0</v>
      </c>
      <c r="Y1988" s="263"/>
      <c r="Z1988" s="263"/>
      <c r="AB1988" s="265" t="str">
        <f t="shared" si="284"/>
        <v/>
      </c>
    </row>
    <row r="1989" spans="1:28" s="264" customFormat="1" ht="20.399999999999999">
      <c r="A1989" s="207"/>
      <c r="B1989" s="208"/>
      <c r="C1989" s="212"/>
      <c r="D1989" s="270"/>
      <c r="E1989" s="208"/>
      <c r="F1989" s="208"/>
      <c r="G1989" s="208"/>
      <c r="H1989" s="209"/>
      <c r="I1989" s="210"/>
      <c r="J1989" s="210"/>
      <c r="K1989" s="260"/>
      <c r="L1989" s="260"/>
      <c r="M1989" s="260"/>
      <c r="N1989" s="260"/>
      <c r="O1989" s="260"/>
      <c r="P1989" s="211"/>
      <c r="Q1989" s="261"/>
      <c r="R1989" s="208" t="str">
        <f ca="1">IF(ISERROR($V1989),"",OFFSET('Smelter Look-up'!$C$4,$V1989-4,0)&amp;"")</f>
        <v/>
      </c>
      <c r="S1989" s="215" t="str">
        <f t="shared" ca="1" si="282"/>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si="283"/>
        <v>0</v>
      </c>
      <c r="Y1989" s="263"/>
      <c r="Z1989" s="263"/>
      <c r="AB1989" s="265" t="str">
        <f t="shared" si="284"/>
        <v/>
      </c>
    </row>
    <row r="1990" spans="1:28" s="264" customFormat="1" ht="20.399999999999999">
      <c r="A1990" s="207"/>
      <c r="B1990" s="208"/>
      <c r="C1990" s="212"/>
      <c r="D1990" s="270"/>
      <c r="E1990" s="208"/>
      <c r="F1990" s="208"/>
      <c r="G1990" s="208"/>
      <c r="H1990" s="209"/>
      <c r="I1990" s="210"/>
      <c r="J1990" s="210"/>
      <c r="K1990" s="260"/>
      <c r="L1990" s="260"/>
      <c r="M1990" s="260"/>
      <c r="N1990" s="260"/>
      <c r="O1990" s="260"/>
      <c r="P1990" s="211"/>
      <c r="Q1990" s="261"/>
      <c r="R1990" s="208" t="str">
        <f ca="1">IF(ISERROR($V1990),"",OFFSET('Smelter Look-up'!$C$4,$V1990-4,0)&amp;"")</f>
        <v/>
      </c>
      <c r="S1990" s="215" t="str">
        <f t="shared" ca="1" si="282"/>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si="283"/>
        <v>0</v>
      </c>
      <c r="Y1990" s="263"/>
      <c r="Z1990" s="263"/>
      <c r="AB1990" s="265" t="str">
        <f t="shared" si="284"/>
        <v/>
      </c>
    </row>
    <row r="1991" spans="1:28" s="264" customFormat="1" ht="20.399999999999999">
      <c r="A1991" s="207"/>
      <c r="B1991" s="208"/>
      <c r="C1991" s="212"/>
      <c r="D1991" s="270"/>
      <c r="E1991" s="208"/>
      <c r="F1991" s="208"/>
      <c r="G1991" s="208"/>
      <c r="H1991" s="209"/>
      <c r="I1991" s="210"/>
      <c r="J1991" s="210"/>
      <c r="K1991" s="260"/>
      <c r="L1991" s="260"/>
      <c r="M1991" s="260"/>
      <c r="N1991" s="260"/>
      <c r="O1991" s="260"/>
      <c r="P1991" s="211"/>
      <c r="Q1991" s="261"/>
      <c r="R1991" s="208" t="str">
        <f ca="1">IF(ISERROR($V1991),"",OFFSET('Smelter Look-up'!$C$4,$V1991-4,0)&amp;"")</f>
        <v/>
      </c>
      <c r="S1991" s="215" t="str">
        <f t="shared" ca="1" si="282"/>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si="283"/>
        <v>0</v>
      </c>
      <c r="Y1991" s="263"/>
      <c r="Z1991" s="263"/>
      <c r="AB1991" s="265" t="str">
        <f t="shared" si="284"/>
        <v/>
      </c>
    </row>
    <row r="1992" spans="1:28" s="264" customFormat="1" ht="20.399999999999999">
      <c r="A1992" s="207"/>
      <c r="B1992" s="208"/>
      <c r="C1992" s="212"/>
      <c r="D1992" s="270"/>
      <c r="E1992" s="208"/>
      <c r="F1992" s="208"/>
      <c r="G1992" s="208"/>
      <c r="H1992" s="209"/>
      <c r="I1992" s="210"/>
      <c r="J1992" s="210"/>
      <c r="K1992" s="260"/>
      <c r="L1992" s="260"/>
      <c r="M1992" s="260"/>
      <c r="N1992" s="260"/>
      <c r="O1992" s="260"/>
      <c r="P1992" s="211"/>
      <c r="Q1992" s="261"/>
      <c r="R1992" s="208" t="str">
        <f ca="1">IF(ISERROR($V1992),"",OFFSET('Smelter Look-up'!$C$4,$V1992-4,0)&amp;"")</f>
        <v/>
      </c>
      <c r="S1992" s="215" t="str">
        <f t="shared" ca="1" si="282"/>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si="283"/>
        <v>0</v>
      </c>
      <c r="Y1992" s="263"/>
      <c r="Z1992" s="263"/>
      <c r="AB1992" s="265" t="str">
        <f t="shared" si="284"/>
        <v/>
      </c>
    </row>
    <row r="1993" spans="1:28" s="264" customFormat="1" ht="20.399999999999999">
      <c r="A1993" s="207"/>
      <c r="B1993" s="208"/>
      <c r="C1993" s="212"/>
      <c r="D1993" s="270"/>
      <c r="E1993" s="208"/>
      <c r="F1993" s="208"/>
      <c r="G1993" s="208"/>
      <c r="H1993" s="209"/>
      <c r="I1993" s="210"/>
      <c r="J1993" s="210"/>
      <c r="K1993" s="260"/>
      <c r="L1993" s="260"/>
      <c r="M1993" s="260"/>
      <c r="N1993" s="260"/>
      <c r="O1993" s="260"/>
      <c r="P1993" s="211"/>
      <c r="Q1993" s="261"/>
      <c r="R1993" s="208" t="str">
        <f ca="1">IF(ISERROR($V1993),"",OFFSET('Smelter Look-up'!$C$4,$V1993-4,0)&amp;"")</f>
        <v/>
      </c>
      <c r="S1993" s="215" t="str">
        <f t="shared" ca="1" si="282"/>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si="283"/>
        <v>0</v>
      </c>
      <c r="Y1993" s="263"/>
      <c r="Z1993" s="263"/>
      <c r="AB1993" s="265" t="str">
        <f t="shared" si="284"/>
        <v/>
      </c>
    </row>
    <row r="1994" spans="1:28" s="264" customFormat="1" ht="20.399999999999999">
      <c r="A1994" s="207"/>
      <c r="B1994" s="208"/>
      <c r="C1994" s="212"/>
      <c r="D1994" s="270"/>
      <c r="E1994" s="208"/>
      <c r="F1994" s="208"/>
      <c r="G1994" s="208"/>
      <c r="H1994" s="209"/>
      <c r="I1994" s="210"/>
      <c r="J1994" s="210"/>
      <c r="K1994" s="260"/>
      <c r="L1994" s="260"/>
      <c r="M1994" s="260"/>
      <c r="N1994" s="260"/>
      <c r="O1994" s="260"/>
      <c r="P1994" s="211"/>
      <c r="Q1994" s="261"/>
      <c r="R1994" s="208" t="str">
        <f ca="1">IF(ISERROR($V1994),"",OFFSET('Smelter Look-up'!$C$4,$V1994-4,0)&amp;"")</f>
        <v/>
      </c>
      <c r="S1994" s="215" t="str">
        <f t="shared" ca="1" si="282"/>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si="283"/>
        <v>0</v>
      </c>
      <c r="Y1994" s="263"/>
      <c r="Z1994" s="263"/>
      <c r="AB1994" s="265" t="str">
        <f t="shared" si="284"/>
        <v/>
      </c>
    </row>
    <row r="1995" spans="1:28" s="264" customFormat="1" ht="20.399999999999999">
      <c r="A1995" s="207"/>
      <c r="B1995" s="208"/>
      <c r="C1995" s="212"/>
      <c r="D1995" s="270"/>
      <c r="E1995" s="208"/>
      <c r="F1995" s="208"/>
      <c r="G1995" s="208"/>
      <c r="H1995" s="209"/>
      <c r="I1995" s="210"/>
      <c r="J1995" s="210"/>
      <c r="K1995" s="260"/>
      <c r="L1995" s="260"/>
      <c r="M1995" s="260"/>
      <c r="N1995" s="260"/>
      <c r="O1995" s="260"/>
      <c r="P1995" s="211"/>
      <c r="Q1995" s="261"/>
      <c r="R1995" s="208" t="str">
        <f ca="1">IF(ISERROR($V1995),"",OFFSET('Smelter Look-up'!$C$4,$V1995-4,0)&amp;"")</f>
        <v/>
      </c>
      <c r="S1995" s="215" t="str">
        <f t="shared" ca="1" si="282"/>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si="283"/>
        <v>0</v>
      </c>
      <c r="Y1995" s="263"/>
      <c r="Z1995" s="263"/>
      <c r="AB1995" s="265" t="str">
        <f t="shared" si="284"/>
        <v/>
      </c>
    </row>
    <row r="1996" spans="1:28" s="264" customFormat="1" ht="20.399999999999999">
      <c r="A1996" s="207"/>
      <c r="B1996" s="208"/>
      <c r="C1996" s="212"/>
      <c r="D1996" s="270"/>
      <c r="E1996" s="208"/>
      <c r="F1996" s="208"/>
      <c r="G1996" s="208"/>
      <c r="H1996" s="209"/>
      <c r="I1996" s="210"/>
      <c r="J1996" s="210"/>
      <c r="K1996" s="260"/>
      <c r="L1996" s="260"/>
      <c r="M1996" s="260"/>
      <c r="N1996" s="260"/>
      <c r="O1996" s="260"/>
      <c r="P1996" s="211"/>
      <c r="Q1996" s="261"/>
      <c r="R1996" s="208" t="str">
        <f ca="1">IF(ISERROR($V1996),"",OFFSET('Smelter Look-up'!$C$4,$V1996-4,0)&amp;"")</f>
        <v/>
      </c>
      <c r="S1996" s="215" t="str">
        <f t="shared" ca="1" si="282"/>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si="283"/>
        <v>0</v>
      </c>
      <c r="Y1996" s="263"/>
      <c r="Z1996" s="263"/>
      <c r="AB1996" s="265" t="str">
        <f t="shared" si="284"/>
        <v/>
      </c>
    </row>
    <row r="1997" spans="1:28" s="264" customFormat="1" ht="20.399999999999999">
      <c r="A1997" s="207"/>
      <c r="B1997" s="208"/>
      <c r="C1997" s="212"/>
      <c r="D1997" s="270"/>
      <c r="E1997" s="208"/>
      <c r="F1997" s="208"/>
      <c r="G1997" s="208"/>
      <c r="H1997" s="209"/>
      <c r="I1997" s="210"/>
      <c r="J1997" s="210"/>
      <c r="K1997" s="260"/>
      <c r="L1997" s="260"/>
      <c r="M1997" s="260"/>
      <c r="N1997" s="260"/>
      <c r="O1997" s="260"/>
      <c r="P1997" s="211"/>
      <c r="Q1997" s="261"/>
      <c r="R1997" s="208" t="str">
        <f ca="1">IF(ISERROR($V1997),"",OFFSET('Smelter Look-up'!$C$4,$V1997-4,0)&amp;"")</f>
        <v/>
      </c>
      <c r="S1997" s="215" t="str">
        <f t="shared" ca="1" si="282"/>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si="283"/>
        <v>0</v>
      </c>
      <c r="Y1997" s="263"/>
      <c r="Z1997" s="263"/>
      <c r="AB1997" s="265" t="str">
        <f t="shared" si="284"/>
        <v/>
      </c>
    </row>
    <row r="1998" spans="1:28" s="264" customFormat="1" ht="20.399999999999999">
      <c r="A1998" s="207"/>
      <c r="B1998" s="208"/>
      <c r="C1998" s="212"/>
      <c r="D1998" s="270"/>
      <c r="E1998" s="208"/>
      <c r="F1998" s="208"/>
      <c r="G1998" s="208"/>
      <c r="H1998" s="209"/>
      <c r="I1998" s="210"/>
      <c r="J1998" s="210"/>
      <c r="K1998" s="260"/>
      <c r="L1998" s="260"/>
      <c r="M1998" s="260"/>
      <c r="N1998" s="260"/>
      <c r="O1998" s="260"/>
      <c r="P1998" s="211"/>
      <c r="Q1998" s="261"/>
      <c r="R1998" s="208" t="str">
        <f ca="1">IF(ISERROR($V1998),"",OFFSET('Smelter Look-up'!$C$4,$V1998-4,0)&amp;"")</f>
        <v/>
      </c>
      <c r="S1998" s="215" t="str">
        <f t="shared" ca="1" si="282"/>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si="283"/>
        <v>0</v>
      </c>
      <c r="Y1998" s="263"/>
      <c r="Z1998" s="263"/>
      <c r="AB1998" s="265" t="str">
        <f t="shared" si="284"/>
        <v/>
      </c>
    </row>
    <row r="1999" spans="1:28" s="264" customFormat="1" ht="20.399999999999999">
      <c r="A1999" s="207"/>
      <c r="B1999" s="208"/>
      <c r="C1999" s="212"/>
      <c r="D1999" s="270"/>
      <c r="E1999" s="208"/>
      <c r="F1999" s="208"/>
      <c r="G1999" s="208"/>
      <c r="H1999" s="209"/>
      <c r="I1999" s="210"/>
      <c r="J1999" s="210"/>
      <c r="K1999" s="260"/>
      <c r="L1999" s="260"/>
      <c r="M1999" s="260"/>
      <c r="N1999" s="260"/>
      <c r="O1999" s="260"/>
      <c r="P1999" s="211"/>
      <c r="Q1999" s="261"/>
      <c r="R1999" s="208" t="str">
        <f ca="1">IF(ISERROR($V1999),"",OFFSET('Smelter Look-up'!$C$4,$V1999-4,0)&amp;"")</f>
        <v/>
      </c>
      <c r="S1999" s="215" t="str">
        <f t="shared" ca="1" si="282"/>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si="283"/>
        <v>0</v>
      </c>
      <c r="Y1999" s="263"/>
      <c r="Z1999" s="263"/>
      <c r="AB1999" s="265" t="str">
        <f t="shared" si="284"/>
        <v/>
      </c>
    </row>
    <row r="2000" spans="1:28" s="264" customFormat="1" ht="20.399999999999999">
      <c r="A2000" s="207"/>
      <c r="B2000" s="208"/>
      <c r="C2000" s="212"/>
      <c r="D2000" s="270"/>
      <c r="E2000" s="208"/>
      <c r="F2000" s="208"/>
      <c r="G2000" s="208"/>
      <c r="H2000" s="209"/>
      <c r="I2000" s="210"/>
      <c r="J2000" s="210"/>
      <c r="K2000" s="260"/>
      <c r="L2000" s="260"/>
      <c r="M2000" s="260"/>
      <c r="N2000" s="260"/>
      <c r="O2000" s="260"/>
      <c r="P2000" s="211"/>
      <c r="Q2000" s="261"/>
      <c r="R2000" s="208" t="str">
        <f ca="1">IF(ISERROR($V2000),"",OFFSET('Smelter Look-up'!$C$4,$V2000-4,0)&amp;"")</f>
        <v/>
      </c>
      <c r="S2000" s="215" t="str">
        <f t="shared" ca="1" si="282"/>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si="283"/>
        <v>0</v>
      </c>
      <c r="Y2000" s="263"/>
      <c r="Z2000" s="263"/>
      <c r="AB2000" s="265" t="str">
        <f t="shared" si="284"/>
        <v/>
      </c>
    </row>
    <row r="2001" spans="1:28" s="264" customFormat="1" ht="20.399999999999999">
      <c r="A2001" s="207"/>
      <c r="B2001" s="208"/>
      <c r="C2001" s="212"/>
      <c r="D2001" s="270"/>
      <c r="E2001" s="208"/>
      <c r="F2001" s="208"/>
      <c r="G2001" s="208"/>
      <c r="H2001" s="209"/>
      <c r="I2001" s="210"/>
      <c r="J2001" s="210"/>
      <c r="K2001" s="260"/>
      <c r="L2001" s="260"/>
      <c r="M2001" s="260"/>
      <c r="N2001" s="260"/>
      <c r="O2001" s="260"/>
      <c r="P2001" s="211"/>
      <c r="Q2001" s="261"/>
      <c r="R2001" s="208" t="str">
        <f ca="1">IF(ISERROR($V2001),"",OFFSET('Smelter Look-up'!$C$4,$V2001-4,0)&amp;"")</f>
        <v/>
      </c>
      <c r="S2001" s="215" t="str">
        <f t="shared" ca="1" si="282"/>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si="283"/>
        <v>0</v>
      </c>
      <c r="Y2001" s="263"/>
      <c r="Z2001" s="263"/>
      <c r="AB2001" s="265" t="str">
        <f t="shared" si="284"/>
        <v/>
      </c>
    </row>
    <row r="2002" spans="1:28" s="264" customFormat="1" ht="20.399999999999999">
      <c r="A2002" s="207"/>
      <c r="B2002" s="208"/>
      <c r="C2002" s="212"/>
      <c r="D2002" s="270"/>
      <c r="E2002" s="208"/>
      <c r="F2002" s="208"/>
      <c r="G2002" s="208"/>
      <c r="H2002" s="209"/>
      <c r="I2002" s="210"/>
      <c r="J2002" s="210"/>
      <c r="K2002" s="260"/>
      <c r="L2002" s="260"/>
      <c r="M2002" s="260"/>
      <c r="N2002" s="260"/>
      <c r="O2002" s="260"/>
      <c r="P2002" s="211"/>
      <c r="Q2002" s="261"/>
      <c r="R2002" s="208" t="str">
        <f ca="1">IF(ISERROR($V2002),"",OFFSET('Smelter Look-up'!$C$4,$V2002-4,0)&amp;"")</f>
        <v/>
      </c>
      <c r="S2002" s="215" t="str">
        <f t="shared" ca="1" si="282"/>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si="283"/>
        <v>0</v>
      </c>
      <c r="Y2002" s="263"/>
      <c r="Z2002" s="263"/>
      <c r="AB2002" s="265" t="str">
        <f t="shared" si="284"/>
        <v/>
      </c>
    </row>
    <row r="2003" spans="1:28" s="264" customFormat="1" ht="20.399999999999999">
      <c r="A2003" s="207"/>
      <c r="B2003" s="208"/>
      <c r="C2003" s="212"/>
      <c r="D2003" s="270"/>
      <c r="E2003" s="208"/>
      <c r="F2003" s="208"/>
      <c r="G2003" s="208"/>
      <c r="H2003" s="209"/>
      <c r="I2003" s="210"/>
      <c r="J2003" s="210"/>
      <c r="K2003" s="260"/>
      <c r="L2003" s="260"/>
      <c r="M2003" s="260"/>
      <c r="N2003" s="260"/>
      <c r="O2003" s="260"/>
      <c r="P2003" s="211"/>
      <c r="Q2003" s="261"/>
      <c r="R2003" s="208" t="str">
        <f ca="1">IF(ISERROR($V2003),"",OFFSET('Smelter Look-up'!$C$4,$V2003-4,0)&amp;"")</f>
        <v/>
      </c>
      <c r="S2003" s="215" t="str">
        <f t="shared" ca="1" si="282"/>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si="283"/>
        <v>0</v>
      </c>
      <c r="Y2003" s="263"/>
      <c r="Z2003" s="263"/>
      <c r="AB2003" s="265" t="str">
        <f t="shared" si="284"/>
        <v/>
      </c>
    </row>
    <row r="2004" spans="1:28" s="264" customFormat="1" ht="20.399999999999999">
      <c r="A2004" s="207"/>
      <c r="B2004" s="208"/>
      <c r="C2004" s="212"/>
      <c r="D2004" s="270"/>
      <c r="E2004" s="208"/>
      <c r="F2004" s="208"/>
      <c r="G2004" s="208"/>
      <c r="H2004" s="209"/>
      <c r="I2004" s="210"/>
      <c r="J2004" s="210"/>
      <c r="K2004" s="260"/>
      <c r="L2004" s="260"/>
      <c r="M2004" s="260"/>
      <c r="N2004" s="260"/>
      <c r="O2004" s="260"/>
      <c r="P2004" s="211"/>
      <c r="Q2004" s="261"/>
      <c r="R2004" s="208" t="str">
        <f ca="1">IF(ISERROR($V2004),"",OFFSET('Smelter Look-up'!$C$4,$V2004-4,0)&amp;"")</f>
        <v/>
      </c>
      <c r="S2004" s="215" t="str">
        <f t="shared" ca="1" si="282"/>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si="283"/>
        <v>0</v>
      </c>
      <c r="Y2004" s="263"/>
      <c r="Z2004" s="263"/>
      <c r="AB2004" s="265" t="str">
        <f t="shared" si="284"/>
        <v/>
      </c>
    </row>
    <row r="2005" spans="1:28" s="264" customFormat="1" ht="20.399999999999999">
      <c r="A2005" s="207"/>
      <c r="B2005" s="208"/>
      <c r="C2005" s="212"/>
      <c r="D2005" s="270"/>
      <c r="E2005" s="208"/>
      <c r="F2005" s="208"/>
      <c r="G2005" s="208"/>
      <c r="H2005" s="209"/>
      <c r="I2005" s="210"/>
      <c r="J2005" s="210"/>
      <c r="K2005" s="260"/>
      <c r="L2005" s="260"/>
      <c r="M2005" s="260"/>
      <c r="N2005" s="260"/>
      <c r="O2005" s="260"/>
      <c r="P2005" s="211"/>
      <c r="Q2005" s="261"/>
      <c r="R2005" s="208" t="str">
        <f ca="1">IF(ISERROR($V2005),"",OFFSET('Smelter Look-up'!$C$4,$V2005-4,0)&amp;"")</f>
        <v/>
      </c>
      <c r="S2005" s="215" t="str">
        <f t="shared" ca="1" si="282"/>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si="283"/>
        <v>0</v>
      </c>
      <c r="Y2005" s="263"/>
      <c r="Z2005" s="263"/>
      <c r="AB2005" s="265" t="str">
        <f t="shared" si="284"/>
        <v/>
      </c>
    </row>
    <row r="2006" spans="1:28" s="264" customFormat="1" ht="20.399999999999999">
      <c r="A2006" s="207"/>
      <c r="B2006" s="208"/>
      <c r="C2006" s="212"/>
      <c r="D2006" s="270"/>
      <c r="E2006" s="208"/>
      <c r="F2006" s="208"/>
      <c r="G2006" s="208"/>
      <c r="H2006" s="209"/>
      <c r="I2006" s="210"/>
      <c r="J2006" s="210"/>
      <c r="K2006" s="260"/>
      <c r="L2006" s="260"/>
      <c r="M2006" s="260"/>
      <c r="N2006" s="260"/>
      <c r="O2006" s="260"/>
      <c r="P2006" s="211"/>
      <c r="Q2006" s="261"/>
      <c r="R2006" s="208" t="str">
        <f ca="1">IF(ISERROR($V2006),"",OFFSET('Smelter Look-up'!$C$4,$V2006-4,0)&amp;"")</f>
        <v/>
      </c>
      <c r="S2006" s="215" t="str">
        <f t="shared" ca="1" si="282"/>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si="283"/>
        <v>0</v>
      </c>
      <c r="Y2006" s="263"/>
      <c r="Z2006" s="263"/>
      <c r="AB2006" s="265" t="str">
        <f t="shared" si="284"/>
        <v/>
      </c>
    </row>
    <row r="2007" spans="1:28" s="264" customFormat="1" ht="20.399999999999999">
      <c r="A2007" s="207"/>
      <c r="B2007" s="208"/>
      <c r="C2007" s="212"/>
      <c r="D2007" s="270"/>
      <c r="E2007" s="208"/>
      <c r="F2007" s="208"/>
      <c r="G2007" s="208"/>
      <c r="H2007" s="209"/>
      <c r="I2007" s="210"/>
      <c r="J2007" s="210"/>
      <c r="K2007" s="260"/>
      <c r="L2007" s="260"/>
      <c r="M2007" s="260"/>
      <c r="N2007" s="260"/>
      <c r="O2007" s="260"/>
      <c r="P2007" s="211"/>
      <c r="Q2007" s="261"/>
      <c r="R2007" s="208" t="str">
        <f ca="1">IF(ISERROR($V2007),"",OFFSET('Smelter Look-up'!$C$4,$V2007-4,0)&amp;"")</f>
        <v/>
      </c>
      <c r="S2007" s="215" t="str">
        <f t="shared" ca="1" si="282"/>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si="283"/>
        <v>0</v>
      </c>
      <c r="Y2007" s="263"/>
      <c r="Z2007" s="263"/>
      <c r="AB2007" s="265" t="str">
        <f t="shared" si="284"/>
        <v/>
      </c>
    </row>
    <row r="2008" spans="1:28" s="264" customFormat="1" ht="20.399999999999999">
      <c r="A2008" s="207"/>
      <c r="B2008" s="208"/>
      <c r="C2008" s="212"/>
      <c r="D2008" s="270"/>
      <c r="E2008" s="208"/>
      <c r="F2008" s="208"/>
      <c r="G2008" s="208"/>
      <c r="H2008" s="209"/>
      <c r="I2008" s="210"/>
      <c r="J2008" s="210"/>
      <c r="K2008" s="260"/>
      <c r="L2008" s="260"/>
      <c r="M2008" s="260"/>
      <c r="N2008" s="260"/>
      <c r="O2008" s="260"/>
      <c r="P2008" s="211"/>
      <c r="Q2008" s="261"/>
      <c r="R2008" s="208" t="str">
        <f ca="1">IF(ISERROR($V2008),"",OFFSET('Smelter Look-up'!$C$4,$V2008-4,0)&amp;"")</f>
        <v/>
      </c>
      <c r="S2008" s="215" t="str">
        <f t="shared" ca="1" si="282"/>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si="283"/>
        <v>0</v>
      </c>
      <c r="Y2008" s="263"/>
      <c r="Z2008" s="263"/>
      <c r="AB2008" s="265" t="str">
        <f t="shared" si="284"/>
        <v/>
      </c>
    </row>
    <row r="2009" spans="1:28" s="264" customFormat="1" ht="20.399999999999999">
      <c r="A2009" s="207"/>
      <c r="B2009" s="208"/>
      <c r="C2009" s="212"/>
      <c r="D2009" s="270"/>
      <c r="E2009" s="208"/>
      <c r="F2009" s="208"/>
      <c r="G2009" s="208"/>
      <c r="H2009" s="209"/>
      <c r="I2009" s="210"/>
      <c r="J2009" s="210"/>
      <c r="K2009" s="260"/>
      <c r="L2009" s="260"/>
      <c r="M2009" s="260"/>
      <c r="N2009" s="260"/>
      <c r="O2009" s="260"/>
      <c r="P2009" s="211"/>
      <c r="Q2009" s="261"/>
      <c r="R2009" s="208" t="str">
        <f ca="1">IF(ISERROR($V2009),"",OFFSET('Smelter Look-up'!$C$4,$V2009-4,0)&amp;"")</f>
        <v/>
      </c>
      <c r="S2009" s="215" t="str">
        <f t="shared" ca="1" si="282"/>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si="283"/>
        <v>0</v>
      </c>
      <c r="Y2009" s="263"/>
      <c r="Z2009" s="263"/>
      <c r="AB2009" s="265" t="str">
        <f t="shared" si="284"/>
        <v/>
      </c>
    </row>
    <row r="2010" spans="1:28" s="264" customFormat="1" ht="20.399999999999999">
      <c r="A2010" s="207"/>
      <c r="B2010" s="208"/>
      <c r="C2010" s="212"/>
      <c r="D2010" s="270"/>
      <c r="E2010" s="208"/>
      <c r="F2010" s="208"/>
      <c r="G2010" s="208"/>
      <c r="H2010" s="209"/>
      <c r="I2010" s="210"/>
      <c r="J2010" s="210"/>
      <c r="K2010" s="260"/>
      <c r="L2010" s="260"/>
      <c r="M2010" s="260"/>
      <c r="N2010" s="260"/>
      <c r="O2010" s="260"/>
      <c r="P2010" s="211"/>
      <c r="Q2010" s="261"/>
      <c r="R2010" s="208" t="str">
        <f ca="1">IF(ISERROR($V2010),"",OFFSET('Smelter Look-up'!$C$4,$V2010-4,0)&amp;"")</f>
        <v/>
      </c>
      <c r="S2010" s="215" t="str">
        <f t="shared" ca="1" si="282"/>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si="283"/>
        <v>0</v>
      </c>
      <c r="Y2010" s="263"/>
      <c r="Z2010" s="263"/>
      <c r="AB2010" s="265" t="str">
        <f t="shared" si="284"/>
        <v/>
      </c>
    </row>
    <row r="2011" spans="1:28" s="264" customFormat="1" ht="20.399999999999999">
      <c r="A2011" s="207"/>
      <c r="B2011" s="208"/>
      <c r="C2011" s="212"/>
      <c r="D2011" s="270"/>
      <c r="E2011" s="208"/>
      <c r="F2011" s="208"/>
      <c r="G2011" s="208"/>
      <c r="H2011" s="209"/>
      <c r="I2011" s="210"/>
      <c r="J2011" s="210"/>
      <c r="K2011" s="260"/>
      <c r="L2011" s="260"/>
      <c r="M2011" s="260"/>
      <c r="N2011" s="260"/>
      <c r="O2011" s="260"/>
      <c r="P2011" s="211"/>
      <c r="Q2011" s="261"/>
      <c r="R2011" s="208" t="str">
        <f ca="1">IF(ISERROR($V2011),"",OFFSET('Smelter Look-up'!$C$4,$V2011-4,0)&amp;"")</f>
        <v/>
      </c>
      <c r="S2011" s="215" t="str">
        <f t="shared" ca="1" si="282"/>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si="283"/>
        <v>0</v>
      </c>
      <c r="Y2011" s="263"/>
      <c r="Z2011" s="263"/>
      <c r="AB2011" s="265" t="str">
        <f t="shared" si="284"/>
        <v/>
      </c>
    </row>
    <row r="2012" spans="1:28" s="264" customFormat="1" ht="20.399999999999999">
      <c r="A2012" s="207"/>
      <c r="B2012" s="208"/>
      <c r="C2012" s="212"/>
      <c r="D2012" s="270"/>
      <c r="E2012" s="208"/>
      <c r="F2012" s="208"/>
      <c r="G2012" s="208"/>
      <c r="H2012" s="209"/>
      <c r="I2012" s="210"/>
      <c r="J2012" s="210"/>
      <c r="K2012" s="260"/>
      <c r="L2012" s="260"/>
      <c r="M2012" s="260"/>
      <c r="N2012" s="260"/>
      <c r="O2012" s="260"/>
      <c r="P2012" s="211"/>
      <c r="Q2012" s="261"/>
      <c r="R2012" s="208" t="str">
        <f ca="1">IF(ISERROR($V2012),"",OFFSET('Smelter Look-up'!$C$4,$V2012-4,0)&amp;"")</f>
        <v/>
      </c>
      <c r="S2012" s="215" t="str">
        <f t="shared" ref="S2012:S2042" ca="1" si="285">IF(B2012="","",IF(ISERROR(MATCH($E2012,CL,0)),"Unknown",INDIRECT("'C'!$A$"&amp;MATCH($E2012,CL,0)+1)))</f>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ref="X2012:X2042" si="286">IF(AND(C2012="Smelter not listed",OR(LEN(D2012)=0,LEN(E2012)=0)),1,0)</f>
        <v>0</v>
      </c>
      <c r="Y2012" s="263"/>
      <c r="Z2012" s="263"/>
      <c r="AB2012" s="265" t="str">
        <f t="shared" ref="AB2012:AB2042" si="287">B2012&amp;C2012</f>
        <v/>
      </c>
    </row>
    <row r="2013" spans="1:28" s="264" customFormat="1" ht="20.399999999999999">
      <c r="A2013" s="207"/>
      <c r="B2013" s="208"/>
      <c r="C2013" s="212"/>
      <c r="D2013" s="270"/>
      <c r="E2013" s="208"/>
      <c r="F2013" s="208"/>
      <c r="G2013" s="208"/>
      <c r="H2013" s="209"/>
      <c r="I2013" s="210"/>
      <c r="J2013" s="210"/>
      <c r="K2013" s="260"/>
      <c r="L2013" s="260"/>
      <c r="M2013" s="260"/>
      <c r="N2013" s="260"/>
      <c r="O2013" s="260"/>
      <c r="P2013" s="211"/>
      <c r="Q2013" s="261"/>
      <c r="R2013" s="208" t="str">
        <f ca="1">IF(ISERROR($V2013),"",OFFSET('Smelter Look-up'!$C$4,$V2013-4,0)&amp;"")</f>
        <v/>
      </c>
      <c r="S2013" s="215" t="str">
        <f t="shared" ca="1" si="285"/>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si="286"/>
        <v>0</v>
      </c>
      <c r="Y2013" s="263"/>
      <c r="Z2013" s="263"/>
      <c r="AB2013" s="265" t="str">
        <f t="shared" si="287"/>
        <v/>
      </c>
    </row>
    <row r="2014" spans="1:28" s="264" customFormat="1" ht="20.399999999999999">
      <c r="A2014" s="207"/>
      <c r="B2014" s="208"/>
      <c r="C2014" s="212"/>
      <c r="D2014" s="270"/>
      <c r="E2014" s="208"/>
      <c r="F2014" s="208"/>
      <c r="G2014" s="208"/>
      <c r="H2014" s="209"/>
      <c r="I2014" s="210"/>
      <c r="J2014" s="210"/>
      <c r="K2014" s="260"/>
      <c r="L2014" s="260"/>
      <c r="M2014" s="260"/>
      <c r="N2014" s="260"/>
      <c r="O2014" s="260"/>
      <c r="P2014" s="211"/>
      <c r="Q2014" s="261"/>
      <c r="R2014" s="208" t="str">
        <f ca="1">IF(ISERROR($V2014),"",OFFSET('Smelter Look-up'!$C$4,$V2014-4,0)&amp;"")</f>
        <v/>
      </c>
      <c r="S2014" s="215" t="str">
        <f t="shared" ca="1" si="285"/>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si="286"/>
        <v>0</v>
      </c>
      <c r="Y2014" s="263"/>
      <c r="Z2014" s="263"/>
      <c r="AB2014" s="265" t="str">
        <f t="shared" si="287"/>
        <v/>
      </c>
    </row>
    <row r="2015" spans="1:28" s="264" customFormat="1" ht="20.399999999999999">
      <c r="A2015" s="207"/>
      <c r="B2015" s="208"/>
      <c r="C2015" s="212"/>
      <c r="D2015" s="270"/>
      <c r="E2015" s="208"/>
      <c r="F2015" s="208"/>
      <c r="G2015" s="208"/>
      <c r="H2015" s="209"/>
      <c r="I2015" s="210"/>
      <c r="J2015" s="210"/>
      <c r="K2015" s="260"/>
      <c r="L2015" s="260"/>
      <c r="M2015" s="260"/>
      <c r="N2015" s="260"/>
      <c r="O2015" s="260"/>
      <c r="P2015" s="211"/>
      <c r="Q2015" s="261"/>
      <c r="R2015" s="208" t="str">
        <f ca="1">IF(ISERROR($V2015),"",OFFSET('Smelter Look-up'!$C$4,$V2015-4,0)&amp;"")</f>
        <v/>
      </c>
      <c r="S2015" s="215" t="str">
        <f t="shared" ca="1" si="285"/>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si="286"/>
        <v>0</v>
      </c>
      <c r="Y2015" s="263"/>
      <c r="Z2015" s="263"/>
      <c r="AB2015" s="265" t="str">
        <f t="shared" si="287"/>
        <v/>
      </c>
    </row>
    <row r="2016" spans="1:28" s="264" customFormat="1" ht="20.399999999999999">
      <c r="A2016" s="207"/>
      <c r="B2016" s="208"/>
      <c r="C2016" s="212"/>
      <c r="D2016" s="270"/>
      <c r="E2016" s="208"/>
      <c r="F2016" s="208"/>
      <c r="G2016" s="208"/>
      <c r="H2016" s="209"/>
      <c r="I2016" s="210"/>
      <c r="J2016" s="210"/>
      <c r="K2016" s="260"/>
      <c r="L2016" s="260"/>
      <c r="M2016" s="260"/>
      <c r="N2016" s="260"/>
      <c r="O2016" s="260"/>
      <c r="P2016" s="211"/>
      <c r="Q2016" s="261"/>
      <c r="R2016" s="208" t="str">
        <f ca="1">IF(ISERROR($V2016),"",OFFSET('Smelter Look-up'!$C$4,$V2016-4,0)&amp;"")</f>
        <v/>
      </c>
      <c r="S2016" s="215" t="str">
        <f t="shared" ca="1" si="285"/>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si="286"/>
        <v>0</v>
      </c>
      <c r="Y2016" s="263"/>
      <c r="Z2016" s="263"/>
      <c r="AB2016" s="265" t="str">
        <f t="shared" si="287"/>
        <v/>
      </c>
    </row>
    <row r="2017" spans="1:28" s="264" customFormat="1" ht="20.399999999999999">
      <c r="A2017" s="207"/>
      <c r="B2017" s="208"/>
      <c r="C2017" s="212"/>
      <c r="D2017" s="270"/>
      <c r="E2017" s="208"/>
      <c r="F2017" s="208"/>
      <c r="G2017" s="208"/>
      <c r="H2017" s="209"/>
      <c r="I2017" s="210"/>
      <c r="J2017" s="210"/>
      <c r="K2017" s="260"/>
      <c r="L2017" s="260"/>
      <c r="M2017" s="260"/>
      <c r="N2017" s="260"/>
      <c r="O2017" s="260"/>
      <c r="P2017" s="211"/>
      <c r="Q2017" s="261"/>
      <c r="R2017" s="208" t="str">
        <f ca="1">IF(ISERROR($V2017),"",OFFSET('Smelter Look-up'!$C$4,$V2017-4,0)&amp;"")</f>
        <v/>
      </c>
      <c r="S2017" s="215" t="str">
        <f t="shared" ca="1" si="285"/>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si="286"/>
        <v>0</v>
      </c>
      <c r="Y2017" s="263"/>
      <c r="Z2017" s="263"/>
      <c r="AB2017" s="265" t="str">
        <f t="shared" si="287"/>
        <v/>
      </c>
    </row>
    <row r="2018" spans="1:28" s="264" customFormat="1" ht="20.399999999999999">
      <c r="A2018" s="207"/>
      <c r="B2018" s="208"/>
      <c r="C2018" s="212"/>
      <c r="D2018" s="270"/>
      <c r="E2018" s="208"/>
      <c r="F2018" s="208"/>
      <c r="G2018" s="208"/>
      <c r="H2018" s="209"/>
      <c r="I2018" s="210"/>
      <c r="J2018" s="210"/>
      <c r="K2018" s="260"/>
      <c r="L2018" s="260"/>
      <c r="M2018" s="260"/>
      <c r="N2018" s="260"/>
      <c r="O2018" s="260"/>
      <c r="P2018" s="211"/>
      <c r="Q2018" s="261"/>
      <c r="R2018" s="208" t="str">
        <f ca="1">IF(ISERROR($V2018),"",OFFSET('Smelter Look-up'!$C$4,$V2018-4,0)&amp;"")</f>
        <v/>
      </c>
      <c r="S2018" s="215" t="str">
        <f t="shared" ca="1" si="285"/>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si="286"/>
        <v>0</v>
      </c>
      <c r="Y2018" s="263"/>
      <c r="Z2018" s="263"/>
      <c r="AB2018" s="265" t="str">
        <f t="shared" si="287"/>
        <v/>
      </c>
    </row>
    <row r="2019" spans="1:28" s="264" customFormat="1" ht="20.399999999999999">
      <c r="A2019" s="207"/>
      <c r="B2019" s="208"/>
      <c r="C2019" s="212"/>
      <c r="D2019" s="270"/>
      <c r="E2019" s="208"/>
      <c r="F2019" s="208"/>
      <c r="G2019" s="208"/>
      <c r="H2019" s="209"/>
      <c r="I2019" s="210"/>
      <c r="J2019" s="210"/>
      <c r="K2019" s="260"/>
      <c r="L2019" s="260"/>
      <c r="M2019" s="260"/>
      <c r="N2019" s="260"/>
      <c r="O2019" s="260"/>
      <c r="P2019" s="211"/>
      <c r="Q2019" s="261"/>
      <c r="R2019" s="208" t="str">
        <f ca="1">IF(ISERROR($V2019),"",OFFSET('Smelter Look-up'!$C$4,$V2019-4,0)&amp;"")</f>
        <v/>
      </c>
      <c r="S2019" s="215" t="str">
        <f t="shared" ca="1" si="285"/>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si="286"/>
        <v>0</v>
      </c>
      <c r="Y2019" s="263"/>
      <c r="Z2019" s="263"/>
      <c r="AB2019" s="265" t="str">
        <f t="shared" si="287"/>
        <v/>
      </c>
    </row>
    <row r="2020" spans="1:28" s="264" customFormat="1" ht="20.399999999999999">
      <c r="A2020" s="207"/>
      <c r="B2020" s="208"/>
      <c r="C2020" s="212"/>
      <c r="D2020" s="270"/>
      <c r="E2020" s="208"/>
      <c r="F2020" s="208"/>
      <c r="G2020" s="208"/>
      <c r="H2020" s="209"/>
      <c r="I2020" s="210"/>
      <c r="J2020" s="210"/>
      <c r="K2020" s="260"/>
      <c r="L2020" s="260"/>
      <c r="M2020" s="260"/>
      <c r="N2020" s="260"/>
      <c r="O2020" s="260"/>
      <c r="P2020" s="211"/>
      <c r="Q2020" s="261"/>
      <c r="R2020" s="208" t="str">
        <f ca="1">IF(ISERROR($V2020),"",OFFSET('Smelter Look-up'!$C$4,$V2020-4,0)&amp;"")</f>
        <v/>
      </c>
      <c r="S2020" s="215" t="str">
        <f t="shared" ca="1" si="285"/>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si="286"/>
        <v>0</v>
      </c>
      <c r="Y2020" s="263"/>
      <c r="Z2020" s="263"/>
      <c r="AB2020" s="265" t="str">
        <f t="shared" si="287"/>
        <v/>
      </c>
    </row>
    <row r="2021" spans="1:28" s="264" customFormat="1" ht="20.399999999999999">
      <c r="A2021" s="207"/>
      <c r="B2021" s="208"/>
      <c r="C2021" s="212"/>
      <c r="D2021" s="270"/>
      <c r="E2021" s="208"/>
      <c r="F2021" s="208"/>
      <c r="G2021" s="208"/>
      <c r="H2021" s="209"/>
      <c r="I2021" s="210"/>
      <c r="J2021" s="210"/>
      <c r="K2021" s="260"/>
      <c r="L2021" s="260"/>
      <c r="M2021" s="260"/>
      <c r="N2021" s="260"/>
      <c r="O2021" s="260"/>
      <c r="P2021" s="211"/>
      <c r="Q2021" s="261"/>
      <c r="R2021" s="208" t="str">
        <f ca="1">IF(ISERROR($V2021),"",OFFSET('Smelter Look-up'!$C$4,$V2021-4,0)&amp;"")</f>
        <v/>
      </c>
      <c r="S2021" s="215" t="str">
        <f t="shared" ca="1" si="285"/>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si="286"/>
        <v>0</v>
      </c>
      <c r="Y2021" s="263"/>
      <c r="Z2021" s="263"/>
      <c r="AB2021" s="265" t="str">
        <f t="shared" si="287"/>
        <v/>
      </c>
    </row>
    <row r="2022" spans="1:28" s="264" customFormat="1" ht="20.399999999999999">
      <c r="A2022" s="207"/>
      <c r="B2022" s="208"/>
      <c r="C2022" s="212"/>
      <c r="D2022" s="270"/>
      <c r="E2022" s="208"/>
      <c r="F2022" s="208"/>
      <c r="G2022" s="208"/>
      <c r="H2022" s="209"/>
      <c r="I2022" s="210"/>
      <c r="J2022" s="210"/>
      <c r="K2022" s="260"/>
      <c r="L2022" s="260"/>
      <c r="M2022" s="260"/>
      <c r="N2022" s="260"/>
      <c r="O2022" s="260"/>
      <c r="P2022" s="211"/>
      <c r="Q2022" s="261"/>
      <c r="R2022" s="208" t="str">
        <f ca="1">IF(ISERROR($V2022),"",OFFSET('Smelter Look-up'!$C$4,$V2022-4,0)&amp;"")</f>
        <v/>
      </c>
      <c r="S2022" s="215" t="str">
        <f t="shared" ca="1" si="285"/>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si="286"/>
        <v>0</v>
      </c>
      <c r="Y2022" s="263"/>
      <c r="Z2022" s="263"/>
      <c r="AB2022" s="265" t="str">
        <f t="shared" si="287"/>
        <v/>
      </c>
    </row>
    <row r="2023" spans="1:28" s="264" customFormat="1" ht="20.399999999999999">
      <c r="A2023" s="207"/>
      <c r="B2023" s="208"/>
      <c r="C2023" s="212"/>
      <c r="D2023" s="270"/>
      <c r="E2023" s="208"/>
      <c r="F2023" s="208"/>
      <c r="G2023" s="208"/>
      <c r="H2023" s="209"/>
      <c r="I2023" s="210"/>
      <c r="J2023" s="210"/>
      <c r="K2023" s="260"/>
      <c r="L2023" s="260"/>
      <c r="M2023" s="260"/>
      <c r="N2023" s="260"/>
      <c r="O2023" s="260"/>
      <c r="P2023" s="211"/>
      <c r="Q2023" s="261"/>
      <c r="R2023" s="208" t="str">
        <f ca="1">IF(ISERROR($V2023),"",OFFSET('Smelter Look-up'!$C$4,$V2023-4,0)&amp;"")</f>
        <v/>
      </c>
      <c r="S2023" s="215" t="str">
        <f t="shared" ca="1" si="285"/>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si="286"/>
        <v>0</v>
      </c>
      <c r="Y2023" s="263"/>
      <c r="Z2023" s="263"/>
      <c r="AB2023" s="265" t="str">
        <f t="shared" si="287"/>
        <v/>
      </c>
    </row>
    <row r="2024" spans="1:28" s="264" customFormat="1" ht="20.399999999999999">
      <c r="A2024" s="207"/>
      <c r="B2024" s="208"/>
      <c r="C2024" s="212"/>
      <c r="D2024" s="270"/>
      <c r="E2024" s="208"/>
      <c r="F2024" s="208"/>
      <c r="G2024" s="208"/>
      <c r="H2024" s="209"/>
      <c r="I2024" s="210"/>
      <c r="J2024" s="210"/>
      <c r="K2024" s="260"/>
      <c r="L2024" s="260"/>
      <c r="M2024" s="260"/>
      <c r="N2024" s="260"/>
      <c r="O2024" s="260"/>
      <c r="P2024" s="211"/>
      <c r="Q2024" s="261"/>
      <c r="R2024" s="208" t="str">
        <f ca="1">IF(ISERROR($V2024),"",OFFSET('Smelter Look-up'!$C$4,$V2024-4,0)&amp;"")</f>
        <v/>
      </c>
      <c r="S2024" s="215" t="str">
        <f t="shared" ca="1" si="285"/>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si="286"/>
        <v>0</v>
      </c>
      <c r="Y2024" s="263"/>
      <c r="Z2024" s="263"/>
      <c r="AB2024" s="265" t="str">
        <f t="shared" si="287"/>
        <v/>
      </c>
    </row>
    <row r="2025" spans="1:28" s="264" customFormat="1" ht="20.399999999999999">
      <c r="A2025" s="207"/>
      <c r="B2025" s="208"/>
      <c r="C2025" s="212"/>
      <c r="D2025" s="270"/>
      <c r="E2025" s="208"/>
      <c r="F2025" s="208"/>
      <c r="G2025" s="208"/>
      <c r="H2025" s="209"/>
      <c r="I2025" s="210"/>
      <c r="J2025" s="210"/>
      <c r="K2025" s="260"/>
      <c r="L2025" s="260"/>
      <c r="M2025" s="260"/>
      <c r="N2025" s="260"/>
      <c r="O2025" s="260"/>
      <c r="P2025" s="211"/>
      <c r="Q2025" s="261"/>
      <c r="R2025" s="208" t="str">
        <f ca="1">IF(ISERROR($V2025),"",OFFSET('Smelter Look-up'!$C$4,$V2025-4,0)&amp;"")</f>
        <v/>
      </c>
      <c r="S2025" s="215" t="str">
        <f t="shared" ca="1" si="285"/>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si="286"/>
        <v>0</v>
      </c>
      <c r="Y2025" s="263"/>
      <c r="Z2025" s="263"/>
      <c r="AB2025" s="265" t="str">
        <f t="shared" si="287"/>
        <v/>
      </c>
    </row>
    <row r="2026" spans="1:28" s="264" customFormat="1" ht="20.399999999999999">
      <c r="A2026" s="207"/>
      <c r="B2026" s="208"/>
      <c r="C2026" s="212"/>
      <c r="D2026" s="270"/>
      <c r="E2026" s="208"/>
      <c r="F2026" s="208"/>
      <c r="G2026" s="208"/>
      <c r="H2026" s="209"/>
      <c r="I2026" s="210"/>
      <c r="J2026" s="210"/>
      <c r="K2026" s="260"/>
      <c r="L2026" s="260"/>
      <c r="M2026" s="260"/>
      <c r="N2026" s="260"/>
      <c r="O2026" s="260"/>
      <c r="P2026" s="211"/>
      <c r="Q2026" s="261"/>
      <c r="R2026" s="208" t="str">
        <f ca="1">IF(ISERROR($V2026),"",OFFSET('Smelter Look-up'!$C$4,$V2026-4,0)&amp;"")</f>
        <v/>
      </c>
      <c r="S2026" s="215" t="str">
        <f t="shared" ca="1" si="285"/>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si="286"/>
        <v>0</v>
      </c>
      <c r="Y2026" s="263"/>
      <c r="Z2026" s="263"/>
      <c r="AB2026" s="265" t="str">
        <f t="shared" si="287"/>
        <v/>
      </c>
    </row>
    <row r="2027" spans="1:28" s="264" customFormat="1" ht="20.399999999999999">
      <c r="A2027" s="207"/>
      <c r="B2027" s="208"/>
      <c r="C2027" s="212"/>
      <c r="D2027" s="270"/>
      <c r="E2027" s="208"/>
      <c r="F2027" s="208"/>
      <c r="G2027" s="208"/>
      <c r="H2027" s="209"/>
      <c r="I2027" s="210"/>
      <c r="J2027" s="210"/>
      <c r="K2027" s="260"/>
      <c r="L2027" s="260"/>
      <c r="M2027" s="260"/>
      <c r="N2027" s="260"/>
      <c r="O2027" s="260"/>
      <c r="P2027" s="211"/>
      <c r="Q2027" s="261"/>
      <c r="R2027" s="208" t="str">
        <f ca="1">IF(ISERROR($V2027),"",OFFSET('Smelter Look-up'!$C$4,$V2027-4,0)&amp;"")</f>
        <v/>
      </c>
      <c r="S2027" s="215" t="str">
        <f t="shared" ca="1" si="285"/>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si="286"/>
        <v>0</v>
      </c>
      <c r="Y2027" s="263"/>
      <c r="Z2027" s="263"/>
      <c r="AB2027" s="265" t="str">
        <f t="shared" si="287"/>
        <v/>
      </c>
    </row>
    <row r="2028" spans="1:28" s="264" customFormat="1" ht="20.399999999999999">
      <c r="A2028" s="207"/>
      <c r="B2028" s="208"/>
      <c r="C2028" s="212"/>
      <c r="D2028" s="270"/>
      <c r="E2028" s="208"/>
      <c r="F2028" s="208"/>
      <c r="G2028" s="208"/>
      <c r="H2028" s="209"/>
      <c r="I2028" s="210"/>
      <c r="J2028" s="210"/>
      <c r="K2028" s="260"/>
      <c r="L2028" s="260"/>
      <c r="M2028" s="260"/>
      <c r="N2028" s="260"/>
      <c r="O2028" s="260"/>
      <c r="P2028" s="211"/>
      <c r="Q2028" s="261"/>
      <c r="R2028" s="208" t="str">
        <f ca="1">IF(ISERROR($V2028),"",OFFSET('Smelter Look-up'!$C$4,$V2028-4,0)&amp;"")</f>
        <v/>
      </c>
      <c r="S2028" s="215" t="str">
        <f t="shared" ca="1" si="285"/>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si="286"/>
        <v>0</v>
      </c>
      <c r="Y2028" s="263"/>
      <c r="Z2028" s="263"/>
      <c r="AB2028" s="265" t="str">
        <f t="shared" si="287"/>
        <v/>
      </c>
    </row>
    <row r="2029" spans="1:28" s="264" customFormat="1" ht="20.399999999999999">
      <c r="A2029" s="207"/>
      <c r="B2029" s="208"/>
      <c r="C2029" s="212"/>
      <c r="D2029" s="270"/>
      <c r="E2029" s="208"/>
      <c r="F2029" s="208"/>
      <c r="G2029" s="208"/>
      <c r="H2029" s="209"/>
      <c r="I2029" s="210"/>
      <c r="J2029" s="210"/>
      <c r="K2029" s="260"/>
      <c r="L2029" s="260"/>
      <c r="M2029" s="260"/>
      <c r="N2029" s="260"/>
      <c r="O2029" s="260"/>
      <c r="P2029" s="211"/>
      <c r="Q2029" s="261"/>
      <c r="R2029" s="208" t="str">
        <f ca="1">IF(ISERROR($V2029),"",OFFSET('Smelter Look-up'!$C$4,$V2029-4,0)&amp;"")</f>
        <v/>
      </c>
      <c r="S2029" s="215" t="str">
        <f t="shared" ca="1" si="285"/>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si="286"/>
        <v>0</v>
      </c>
      <c r="Y2029" s="263"/>
      <c r="Z2029" s="263"/>
      <c r="AB2029" s="265" t="str">
        <f t="shared" si="287"/>
        <v/>
      </c>
    </row>
    <row r="2030" spans="1:28" s="264" customFormat="1" ht="20.399999999999999">
      <c r="A2030" s="207"/>
      <c r="B2030" s="208"/>
      <c r="C2030" s="212"/>
      <c r="D2030" s="270"/>
      <c r="E2030" s="208"/>
      <c r="F2030" s="208"/>
      <c r="G2030" s="208"/>
      <c r="H2030" s="209"/>
      <c r="I2030" s="210"/>
      <c r="J2030" s="210"/>
      <c r="K2030" s="260"/>
      <c r="L2030" s="260"/>
      <c r="M2030" s="260"/>
      <c r="N2030" s="260"/>
      <c r="O2030" s="260"/>
      <c r="P2030" s="211"/>
      <c r="Q2030" s="261"/>
      <c r="R2030" s="208" t="str">
        <f ca="1">IF(ISERROR($V2030),"",OFFSET('Smelter Look-up'!$C$4,$V2030-4,0)&amp;"")</f>
        <v/>
      </c>
      <c r="S2030" s="215" t="str">
        <f t="shared" ca="1" si="285"/>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si="286"/>
        <v>0</v>
      </c>
      <c r="Y2030" s="263"/>
      <c r="Z2030" s="263"/>
      <c r="AB2030" s="265" t="str">
        <f t="shared" si="287"/>
        <v/>
      </c>
    </row>
    <row r="2031" spans="1:28" s="264" customFormat="1" ht="20.399999999999999">
      <c r="A2031" s="207"/>
      <c r="B2031" s="208"/>
      <c r="C2031" s="212"/>
      <c r="D2031" s="270"/>
      <c r="E2031" s="208"/>
      <c r="F2031" s="208"/>
      <c r="G2031" s="208"/>
      <c r="H2031" s="209"/>
      <c r="I2031" s="210"/>
      <c r="J2031" s="210"/>
      <c r="K2031" s="260"/>
      <c r="L2031" s="260"/>
      <c r="M2031" s="260"/>
      <c r="N2031" s="260"/>
      <c r="O2031" s="260"/>
      <c r="P2031" s="211"/>
      <c r="Q2031" s="261"/>
      <c r="R2031" s="208" t="str">
        <f ca="1">IF(ISERROR($V2031),"",OFFSET('Smelter Look-up'!$C$4,$V2031-4,0)&amp;"")</f>
        <v/>
      </c>
      <c r="S2031" s="215" t="str">
        <f t="shared" ca="1" si="285"/>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si="286"/>
        <v>0</v>
      </c>
      <c r="Y2031" s="263"/>
      <c r="Z2031" s="263"/>
      <c r="AB2031" s="265" t="str">
        <f t="shared" si="287"/>
        <v/>
      </c>
    </row>
    <row r="2032" spans="1:28" s="264" customFormat="1" ht="20.399999999999999">
      <c r="A2032" s="207"/>
      <c r="B2032" s="208"/>
      <c r="C2032" s="212"/>
      <c r="D2032" s="270"/>
      <c r="E2032" s="208"/>
      <c r="F2032" s="208"/>
      <c r="G2032" s="208"/>
      <c r="H2032" s="209"/>
      <c r="I2032" s="210"/>
      <c r="J2032" s="210"/>
      <c r="K2032" s="260"/>
      <c r="L2032" s="260"/>
      <c r="M2032" s="260"/>
      <c r="N2032" s="260"/>
      <c r="O2032" s="260"/>
      <c r="P2032" s="211"/>
      <c r="Q2032" s="261"/>
      <c r="R2032" s="208" t="str">
        <f ca="1">IF(ISERROR($V2032),"",OFFSET('Smelter Look-up'!$C$4,$V2032-4,0)&amp;"")</f>
        <v/>
      </c>
      <c r="S2032" s="215" t="str">
        <f t="shared" ca="1" si="285"/>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si="286"/>
        <v>0</v>
      </c>
      <c r="Y2032" s="263"/>
      <c r="Z2032" s="263"/>
      <c r="AB2032" s="265" t="str">
        <f t="shared" si="287"/>
        <v/>
      </c>
    </row>
    <row r="2033" spans="1:28" s="264" customFormat="1" ht="20.399999999999999">
      <c r="A2033" s="207"/>
      <c r="B2033" s="208"/>
      <c r="C2033" s="212"/>
      <c r="D2033" s="270"/>
      <c r="E2033" s="208"/>
      <c r="F2033" s="208"/>
      <c r="G2033" s="208"/>
      <c r="H2033" s="209"/>
      <c r="I2033" s="210"/>
      <c r="J2033" s="210"/>
      <c r="K2033" s="260"/>
      <c r="L2033" s="260"/>
      <c r="M2033" s="260"/>
      <c r="N2033" s="260"/>
      <c r="O2033" s="260"/>
      <c r="P2033" s="211"/>
      <c r="Q2033" s="261"/>
      <c r="R2033" s="208" t="str">
        <f ca="1">IF(ISERROR($V2033),"",OFFSET('Smelter Look-up'!$C$4,$V2033-4,0)&amp;"")</f>
        <v/>
      </c>
      <c r="S2033" s="215" t="str">
        <f t="shared" ca="1" si="285"/>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si="286"/>
        <v>0</v>
      </c>
      <c r="Y2033" s="263"/>
      <c r="Z2033" s="263"/>
      <c r="AB2033" s="265" t="str">
        <f t="shared" si="287"/>
        <v/>
      </c>
    </row>
    <row r="2034" spans="1:28" s="264" customFormat="1" ht="20.399999999999999">
      <c r="A2034" s="207"/>
      <c r="B2034" s="208"/>
      <c r="C2034" s="212"/>
      <c r="D2034" s="270"/>
      <c r="E2034" s="208"/>
      <c r="F2034" s="208"/>
      <c r="G2034" s="208"/>
      <c r="H2034" s="209"/>
      <c r="I2034" s="210"/>
      <c r="J2034" s="210"/>
      <c r="K2034" s="260"/>
      <c r="L2034" s="260"/>
      <c r="M2034" s="260"/>
      <c r="N2034" s="260"/>
      <c r="O2034" s="260"/>
      <c r="P2034" s="211"/>
      <c r="Q2034" s="261"/>
      <c r="R2034" s="208" t="str">
        <f ca="1">IF(ISERROR($V2034),"",OFFSET('Smelter Look-up'!$C$4,$V2034-4,0)&amp;"")</f>
        <v/>
      </c>
      <c r="S2034" s="215" t="str">
        <f t="shared" ca="1" si="285"/>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si="286"/>
        <v>0</v>
      </c>
      <c r="Y2034" s="263"/>
      <c r="Z2034" s="263"/>
      <c r="AB2034" s="265" t="str">
        <f t="shared" si="287"/>
        <v/>
      </c>
    </row>
    <row r="2035" spans="1:28" s="264" customFormat="1" ht="20.399999999999999">
      <c r="A2035" s="207"/>
      <c r="B2035" s="208"/>
      <c r="C2035" s="212"/>
      <c r="D2035" s="270"/>
      <c r="E2035" s="208"/>
      <c r="F2035" s="208"/>
      <c r="G2035" s="208"/>
      <c r="H2035" s="209"/>
      <c r="I2035" s="210"/>
      <c r="J2035" s="210"/>
      <c r="K2035" s="260"/>
      <c r="L2035" s="260"/>
      <c r="M2035" s="260"/>
      <c r="N2035" s="260"/>
      <c r="O2035" s="260"/>
      <c r="P2035" s="211"/>
      <c r="Q2035" s="261"/>
      <c r="R2035" s="208" t="str">
        <f ca="1">IF(ISERROR($V2035),"",OFFSET('Smelter Look-up'!$C$4,$V2035-4,0)&amp;"")</f>
        <v/>
      </c>
      <c r="S2035" s="215" t="str">
        <f t="shared" ca="1" si="285"/>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si="286"/>
        <v>0</v>
      </c>
      <c r="Y2035" s="263"/>
      <c r="Z2035" s="263"/>
      <c r="AB2035" s="265" t="str">
        <f t="shared" si="287"/>
        <v/>
      </c>
    </row>
    <row r="2036" spans="1:28" s="264" customFormat="1" ht="20.399999999999999">
      <c r="A2036" s="207"/>
      <c r="B2036" s="208"/>
      <c r="C2036" s="212"/>
      <c r="D2036" s="270"/>
      <c r="E2036" s="208"/>
      <c r="F2036" s="208"/>
      <c r="G2036" s="208"/>
      <c r="H2036" s="209"/>
      <c r="I2036" s="210"/>
      <c r="J2036" s="210"/>
      <c r="K2036" s="260"/>
      <c r="L2036" s="260"/>
      <c r="M2036" s="260"/>
      <c r="N2036" s="260"/>
      <c r="O2036" s="260"/>
      <c r="P2036" s="211"/>
      <c r="Q2036" s="261"/>
      <c r="R2036" s="208" t="str">
        <f ca="1">IF(ISERROR($V2036),"",OFFSET('Smelter Look-up'!$C$4,$V2036-4,0)&amp;"")</f>
        <v/>
      </c>
      <c r="S2036" s="215" t="str">
        <f t="shared" ca="1" si="285"/>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si="286"/>
        <v>0</v>
      </c>
      <c r="Y2036" s="263"/>
      <c r="Z2036" s="263"/>
      <c r="AB2036" s="265" t="str">
        <f t="shared" si="287"/>
        <v/>
      </c>
    </row>
    <row r="2037" spans="1:28" s="264" customFormat="1" ht="20.399999999999999">
      <c r="A2037" s="207"/>
      <c r="B2037" s="208"/>
      <c r="C2037" s="212"/>
      <c r="D2037" s="270"/>
      <c r="E2037" s="208"/>
      <c r="F2037" s="208"/>
      <c r="G2037" s="208"/>
      <c r="H2037" s="209"/>
      <c r="I2037" s="210"/>
      <c r="J2037" s="210"/>
      <c r="K2037" s="260"/>
      <c r="L2037" s="260"/>
      <c r="M2037" s="260"/>
      <c r="N2037" s="260"/>
      <c r="O2037" s="260"/>
      <c r="P2037" s="211"/>
      <c r="Q2037" s="261"/>
      <c r="R2037" s="208" t="str">
        <f ca="1">IF(ISERROR($V2037),"",OFFSET('Smelter Look-up'!$C$4,$V2037-4,0)&amp;"")</f>
        <v/>
      </c>
      <c r="S2037" s="215" t="str">
        <f t="shared" ca="1" si="285"/>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si="286"/>
        <v>0</v>
      </c>
      <c r="Y2037" s="263"/>
      <c r="Z2037" s="263"/>
      <c r="AB2037" s="265" t="str">
        <f t="shared" si="287"/>
        <v/>
      </c>
    </row>
    <row r="2038" spans="1:28" s="264" customFormat="1" ht="20.399999999999999">
      <c r="A2038" s="207"/>
      <c r="B2038" s="208"/>
      <c r="C2038" s="212"/>
      <c r="D2038" s="270"/>
      <c r="E2038" s="208"/>
      <c r="F2038" s="208"/>
      <c r="G2038" s="208"/>
      <c r="H2038" s="209"/>
      <c r="I2038" s="210"/>
      <c r="J2038" s="210"/>
      <c r="K2038" s="260"/>
      <c r="L2038" s="260"/>
      <c r="M2038" s="260"/>
      <c r="N2038" s="260"/>
      <c r="O2038" s="260"/>
      <c r="P2038" s="211"/>
      <c r="Q2038" s="261"/>
      <c r="R2038" s="208" t="str">
        <f ca="1">IF(ISERROR($V2038),"",OFFSET('Smelter Look-up'!$C$4,$V2038-4,0)&amp;"")</f>
        <v/>
      </c>
      <c r="S2038" s="215" t="str">
        <f t="shared" ca="1" si="285"/>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si="286"/>
        <v>0</v>
      </c>
      <c r="Y2038" s="263"/>
      <c r="Z2038" s="263"/>
      <c r="AB2038" s="265" t="str">
        <f t="shared" si="287"/>
        <v/>
      </c>
    </row>
    <row r="2039" spans="1:28" s="264" customFormat="1" ht="20.399999999999999">
      <c r="A2039" s="207"/>
      <c r="B2039" s="208"/>
      <c r="C2039" s="212"/>
      <c r="D2039" s="270"/>
      <c r="E2039" s="208"/>
      <c r="F2039" s="208"/>
      <c r="G2039" s="208"/>
      <c r="H2039" s="209"/>
      <c r="I2039" s="210"/>
      <c r="J2039" s="210"/>
      <c r="K2039" s="260"/>
      <c r="L2039" s="260"/>
      <c r="M2039" s="260"/>
      <c r="N2039" s="260"/>
      <c r="O2039" s="260"/>
      <c r="P2039" s="211"/>
      <c r="Q2039" s="261"/>
      <c r="R2039" s="208" t="str">
        <f ca="1">IF(ISERROR($V2039),"",OFFSET('Smelter Look-up'!$C$4,$V2039-4,0)&amp;"")</f>
        <v/>
      </c>
      <c r="S2039" s="215" t="str">
        <f t="shared" ca="1" si="285"/>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si="286"/>
        <v>0</v>
      </c>
      <c r="Y2039" s="263"/>
      <c r="Z2039" s="263"/>
      <c r="AB2039" s="265" t="str">
        <f t="shared" si="287"/>
        <v/>
      </c>
    </row>
    <row r="2040" spans="1:28" s="264" customFormat="1" ht="20.399999999999999">
      <c r="A2040" s="207"/>
      <c r="B2040" s="208"/>
      <c r="C2040" s="212"/>
      <c r="D2040" s="270"/>
      <c r="E2040" s="208"/>
      <c r="F2040" s="208"/>
      <c r="G2040" s="208"/>
      <c r="H2040" s="209"/>
      <c r="I2040" s="210"/>
      <c r="J2040" s="210"/>
      <c r="K2040" s="260"/>
      <c r="L2040" s="260"/>
      <c r="M2040" s="260"/>
      <c r="N2040" s="260"/>
      <c r="O2040" s="260"/>
      <c r="P2040" s="211"/>
      <c r="Q2040" s="261"/>
      <c r="R2040" s="208" t="str">
        <f ca="1">IF(ISERROR($V2040),"",OFFSET('Smelter Look-up'!$C$4,$V2040-4,0)&amp;"")</f>
        <v/>
      </c>
      <c r="S2040" s="215" t="str">
        <f t="shared" ca="1" si="285"/>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si="286"/>
        <v>0</v>
      </c>
      <c r="Y2040" s="263"/>
      <c r="Z2040" s="263"/>
      <c r="AB2040" s="265" t="str">
        <f t="shared" si="287"/>
        <v/>
      </c>
    </row>
    <row r="2041" spans="1:28" s="264" customFormat="1" ht="20.399999999999999">
      <c r="A2041" s="207"/>
      <c r="B2041" s="208"/>
      <c r="C2041" s="212"/>
      <c r="D2041" s="270"/>
      <c r="E2041" s="208"/>
      <c r="F2041" s="208"/>
      <c r="G2041" s="208"/>
      <c r="H2041" s="209"/>
      <c r="I2041" s="210"/>
      <c r="J2041" s="210"/>
      <c r="K2041" s="260"/>
      <c r="L2041" s="260"/>
      <c r="M2041" s="260"/>
      <c r="N2041" s="260"/>
      <c r="O2041" s="260"/>
      <c r="P2041" s="211"/>
      <c r="Q2041" s="261"/>
      <c r="R2041" s="208" t="str">
        <f ca="1">IF(ISERROR($V2041),"",OFFSET('Smelter Look-up'!$C$4,$V2041-4,0)&amp;"")</f>
        <v/>
      </c>
      <c r="S2041" s="215" t="str">
        <f t="shared" ca="1" si="285"/>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si="286"/>
        <v>0</v>
      </c>
      <c r="Y2041" s="263"/>
      <c r="Z2041" s="263"/>
      <c r="AB2041" s="265" t="str">
        <f t="shared" si="287"/>
        <v/>
      </c>
    </row>
    <row r="2042" spans="1:28" s="264" customFormat="1" ht="20.399999999999999">
      <c r="A2042" s="207"/>
      <c r="B2042" s="208"/>
      <c r="C2042" s="212"/>
      <c r="D2042" s="270"/>
      <c r="E2042" s="208"/>
      <c r="F2042" s="208"/>
      <c r="G2042" s="208"/>
      <c r="H2042" s="209"/>
      <c r="I2042" s="210"/>
      <c r="J2042" s="210"/>
      <c r="K2042" s="260"/>
      <c r="L2042" s="260"/>
      <c r="M2042" s="260"/>
      <c r="N2042" s="260"/>
      <c r="O2042" s="260"/>
      <c r="P2042" s="211"/>
      <c r="Q2042" s="261"/>
      <c r="R2042" s="208" t="str">
        <f ca="1">IF(ISERROR($V2042),"",OFFSET('Smelter Look-up'!$C$4,$V2042-4,0)&amp;"")</f>
        <v/>
      </c>
      <c r="S2042" s="215" t="str">
        <f t="shared" ca="1" si="285"/>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si="286"/>
        <v>0</v>
      </c>
      <c r="Y2042" s="263"/>
      <c r="Z2042" s="263"/>
      <c r="AB2042" s="265" t="str">
        <f t="shared" si="287"/>
        <v/>
      </c>
    </row>
    <row r="2043" spans="1:28" s="264" customFormat="1" ht="20.399999999999999">
      <c r="A2043" s="207"/>
      <c r="B2043" s="208"/>
      <c r="C2043" s="212"/>
      <c r="D2043" s="270"/>
      <c r="E2043" s="208"/>
      <c r="F2043" s="208"/>
      <c r="G2043" s="208"/>
      <c r="H2043" s="209"/>
      <c r="I2043" s="210"/>
      <c r="J2043" s="210"/>
      <c r="K2043" s="260"/>
      <c r="L2043" s="260"/>
      <c r="M2043" s="260"/>
      <c r="N2043" s="260"/>
      <c r="O2043" s="260"/>
      <c r="P2043" s="211"/>
      <c r="Q2043" s="261"/>
      <c r="R2043" s="208" t="str">
        <f ca="1">IF(ISERROR($V2043),"",OFFSET('Smelter Look-up'!$C$4,$V2043-4,0)&amp;"")</f>
        <v/>
      </c>
      <c r="S2043" s="215" t="str">
        <f t="shared" ref="S2043" ca="1" si="288">IF(B2043="","",IF(ISERROR(MATCH($E2043,CL,0)),"Unknown",INDIRECT("'C'!$A$"&amp;MATCH($E2043,CL,0)+1)))</f>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ref="X2043" si="289">IF(AND(C2043="Smelter not listed",OR(LEN(D2043)=0,LEN(E2043)=0)),1,0)</f>
        <v>0</v>
      </c>
      <c r="Y2043" s="263"/>
      <c r="Z2043" s="263"/>
      <c r="AB2043" s="265" t="str">
        <f t="shared" ref="AB2043" si="290">B2043&amp;C2043</f>
        <v/>
      </c>
    </row>
    <row r="2044" spans="1:28" s="264" customFormat="1" ht="20.399999999999999">
      <c r="A2044" s="207"/>
      <c r="B2044" s="208"/>
      <c r="C2044" s="212"/>
      <c r="D2044" s="270"/>
      <c r="E2044" s="208"/>
      <c r="F2044" s="208"/>
      <c r="G2044" s="208"/>
      <c r="H2044" s="209"/>
      <c r="I2044" s="210"/>
      <c r="J2044" s="210"/>
      <c r="K2044" s="260"/>
      <c r="L2044" s="260"/>
      <c r="M2044" s="260"/>
      <c r="N2044" s="260"/>
      <c r="O2044" s="260"/>
      <c r="P2044" s="211"/>
      <c r="Q2044" s="261"/>
      <c r="R2044" s="208" t="str">
        <f ca="1">IF(ISERROR($V2044),"",OFFSET('Smelter Look-up'!$C$4,$V2044-4,0)&amp;"")</f>
        <v/>
      </c>
      <c r="S2044" s="215" t="str">
        <f t="shared" ref="S2044:S2075" ca="1" si="291">IF(B2044="","",IF(ISERROR(MATCH($E2044,CL,0)),"Unknown",INDIRECT("'C'!$A$"&amp;MATCH($E2044,CL,0)+1)))</f>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ref="X2044:X2075" si="292">IF(AND(C2044="Smelter not listed",OR(LEN(D2044)=0,LEN(E2044)=0)),1,0)</f>
        <v>0</v>
      </c>
      <c r="Y2044" s="263"/>
      <c r="Z2044" s="263"/>
      <c r="AB2044" s="265" t="str">
        <f t="shared" ref="AB2044:AB2075" si="293">B2044&amp;C2044</f>
        <v/>
      </c>
    </row>
    <row r="2045" spans="1:28" s="264" customFormat="1" ht="20.399999999999999">
      <c r="A2045" s="207"/>
      <c r="B2045" s="208"/>
      <c r="C2045" s="212"/>
      <c r="D2045" s="270"/>
      <c r="E2045" s="208"/>
      <c r="F2045" s="208"/>
      <c r="G2045" s="208"/>
      <c r="H2045" s="209"/>
      <c r="I2045" s="210"/>
      <c r="J2045" s="210"/>
      <c r="K2045" s="260"/>
      <c r="L2045" s="260"/>
      <c r="M2045" s="260"/>
      <c r="N2045" s="260"/>
      <c r="O2045" s="260"/>
      <c r="P2045" s="211"/>
      <c r="Q2045" s="261"/>
      <c r="R2045" s="208" t="str">
        <f ca="1">IF(ISERROR($V2045),"",OFFSET('Smelter Look-up'!$C$4,$V2045-4,0)&amp;"")</f>
        <v/>
      </c>
      <c r="S2045" s="215" t="str">
        <f t="shared" ca="1" si="291"/>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si="292"/>
        <v>0</v>
      </c>
      <c r="Y2045" s="263"/>
      <c r="Z2045" s="263"/>
      <c r="AB2045" s="265" t="str">
        <f t="shared" si="293"/>
        <v/>
      </c>
    </row>
    <row r="2046" spans="1:28" s="264" customFormat="1" ht="20.399999999999999">
      <c r="A2046" s="207"/>
      <c r="B2046" s="208"/>
      <c r="C2046" s="212"/>
      <c r="D2046" s="270"/>
      <c r="E2046" s="208"/>
      <c r="F2046" s="208"/>
      <c r="G2046" s="208"/>
      <c r="H2046" s="209"/>
      <c r="I2046" s="210"/>
      <c r="J2046" s="210"/>
      <c r="K2046" s="260"/>
      <c r="L2046" s="260"/>
      <c r="M2046" s="260"/>
      <c r="N2046" s="260"/>
      <c r="O2046" s="260"/>
      <c r="P2046" s="211"/>
      <c r="Q2046" s="261"/>
      <c r="R2046" s="208" t="str">
        <f ca="1">IF(ISERROR($V2046),"",OFFSET('Smelter Look-up'!$C$4,$V2046-4,0)&amp;"")</f>
        <v/>
      </c>
      <c r="S2046" s="215" t="str">
        <f t="shared" ca="1" si="291"/>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si="292"/>
        <v>0</v>
      </c>
      <c r="Y2046" s="263"/>
      <c r="Z2046" s="263"/>
      <c r="AB2046" s="265" t="str">
        <f t="shared" si="293"/>
        <v/>
      </c>
    </row>
    <row r="2047" spans="1:28" s="264" customFormat="1" ht="20.399999999999999">
      <c r="A2047" s="207"/>
      <c r="B2047" s="208"/>
      <c r="C2047" s="212"/>
      <c r="D2047" s="270"/>
      <c r="E2047" s="208"/>
      <c r="F2047" s="208"/>
      <c r="G2047" s="208"/>
      <c r="H2047" s="209"/>
      <c r="I2047" s="210"/>
      <c r="J2047" s="210"/>
      <c r="K2047" s="260"/>
      <c r="L2047" s="260"/>
      <c r="M2047" s="260"/>
      <c r="N2047" s="260"/>
      <c r="O2047" s="260"/>
      <c r="P2047" s="211"/>
      <c r="Q2047" s="261"/>
      <c r="R2047" s="208" t="str">
        <f ca="1">IF(ISERROR($V2047),"",OFFSET('Smelter Look-up'!$C$4,$V2047-4,0)&amp;"")</f>
        <v/>
      </c>
      <c r="S2047" s="215" t="str">
        <f t="shared" ca="1" si="291"/>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si="292"/>
        <v>0</v>
      </c>
      <c r="Y2047" s="263"/>
      <c r="Z2047" s="263"/>
      <c r="AB2047" s="265" t="str">
        <f t="shared" si="293"/>
        <v/>
      </c>
    </row>
    <row r="2048" spans="1:28" s="264" customFormat="1" ht="20.399999999999999">
      <c r="A2048" s="207"/>
      <c r="B2048" s="208"/>
      <c r="C2048" s="212"/>
      <c r="D2048" s="270"/>
      <c r="E2048" s="208"/>
      <c r="F2048" s="208"/>
      <c r="G2048" s="208"/>
      <c r="H2048" s="209"/>
      <c r="I2048" s="210"/>
      <c r="J2048" s="210"/>
      <c r="K2048" s="260"/>
      <c r="L2048" s="260"/>
      <c r="M2048" s="260"/>
      <c r="N2048" s="260"/>
      <c r="O2048" s="260"/>
      <c r="P2048" s="211"/>
      <c r="Q2048" s="261"/>
      <c r="R2048" s="208" t="str">
        <f ca="1">IF(ISERROR($V2048),"",OFFSET('Smelter Look-up'!$C$4,$V2048-4,0)&amp;"")</f>
        <v/>
      </c>
      <c r="S2048" s="215" t="str">
        <f t="shared" ca="1" si="291"/>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si="292"/>
        <v>0</v>
      </c>
      <c r="Y2048" s="263"/>
      <c r="Z2048" s="263"/>
      <c r="AB2048" s="265" t="str">
        <f t="shared" si="293"/>
        <v/>
      </c>
    </row>
    <row r="2049" spans="1:28" s="264" customFormat="1" ht="20.399999999999999">
      <c r="A2049" s="207"/>
      <c r="B2049" s="208"/>
      <c r="C2049" s="212"/>
      <c r="D2049" s="270"/>
      <c r="E2049" s="208"/>
      <c r="F2049" s="208"/>
      <c r="G2049" s="208"/>
      <c r="H2049" s="209"/>
      <c r="I2049" s="210"/>
      <c r="J2049" s="210"/>
      <c r="K2049" s="260"/>
      <c r="L2049" s="260"/>
      <c r="M2049" s="260"/>
      <c r="N2049" s="260"/>
      <c r="O2049" s="260"/>
      <c r="P2049" s="211"/>
      <c r="Q2049" s="261"/>
      <c r="R2049" s="208" t="str">
        <f ca="1">IF(ISERROR($V2049),"",OFFSET('Smelter Look-up'!$C$4,$V2049-4,0)&amp;"")</f>
        <v/>
      </c>
      <c r="S2049" s="215" t="str">
        <f t="shared" ca="1" si="291"/>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si="292"/>
        <v>0</v>
      </c>
      <c r="Y2049" s="263"/>
      <c r="Z2049" s="263"/>
      <c r="AB2049" s="265" t="str">
        <f t="shared" si="293"/>
        <v/>
      </c>
    </row>
    <row r="2050" spans="1:28" s="264" customFormat="1" ht="20.399999999999999">
      <c r="A2050" s="207"/>
      <c r="B2050" s="208"/>
      <c r="C2050" s="212"/>
      <c r="D2050" s="270"/>
      <c r="E2050" s="208"/>
      <c r="F2050" s="208"/>
      <c r="G2050" s="208"/>
      <c r="H2050" s="209"/>
      <c r="I2050" s="210"/>
      <c r="J2050" s="210"/>
      <c r="K2050" s="260"/>
      <c r="L2050" s="260"/>
      <c r="M2050" s="260"/>
      <c r="N2050" s="260"/>
      <c r="O2050" s="260"/>
      <c r="P2050" s="211"/>
      <c r="Q2050" s="261"/>
      <c r="R2050" s="208" t="str">
        <f ca="1">IF(ISERROR($V2050),"",OFFSET('Smelter Look-up'!$C$4,$V2050-4,0)&amp;"")</f>
        <v/>
      </c>
      <c r="S2050" s="215" t="str">
        <f t="shared" ca="1" si="291"/>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si="292"/>
        <v>0</v>
      </c>
      <c r="Y2050" s="263"/>
      <c r="Z2050" s="263"/>
      <c r="AB2050" s="265" t="str">
        <f t="shared" si="293"/>
        <v/>
      </c>
    </row>
    <row r="2051" spans="1:28" s="264" customFormat="1" ht="20.399999999999999">
      <c r="A2051" s="207"/>
      <c r="B2051" s="208"/>
      <c r="C2051" s="212"/>
      <c r="D2051" s="270"/>
      <c r="E2051" s="208"/>
      <c r="F2051" s="208"/>
      <c r="G2051" s="208"/>
      <c r="H2051" s="209"/>
      <c r="I2051" s="210"/>
      <c r="J2051" s="210"/>
      <c r="K2051" s="260"/>
      <c r="L2051" s="260"/>
      <c r="M2051" s="260"/>
      <c r="N2051" s="260"/>
      <c r="O2051" s="260"/>
      <c r="P2051" s="211"/>
      <c r="Q2051" s="261"/>
      <c r="R2051" s="208" t="str">
        <f ca="1">IF(ISERROR($V2051),"",OFFSET('Smelter Look-up'!$C$4,$V2051-4,0)&amp;"")</f>
        <v/>
      </c>
      <c r="S2051" s="215" t="str">
        <f t="shared" ca="1" si="291"/>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si="292"/>
        <v>0</v>
      </c>
      <c r="Y2051" s="263"/>
      <c r="Z2051" s="263"/>
      <c r="AB2051" s="265" t="str">
        <f t="shared" si="293"/>
        <v/>
      </c>
    </row>
    <row r="2052" spans="1:28" s="264" customFormat="1" ht="20.399999999999999">
      <c r="A2052" s="207"/>
      <c r="B2052" s="208"/>
      <c r="C2052" s="212"/>
      <c r="D2052" s="270"/>
      <c r="E2052" s="208"/>
      <c r="F2052" s="208"/>
      <c r="G2052" s="208"/>
      <c r="H2052" s="209"/>
      <c r="I2052" s="210"/>
      <c r="J2052" s="210"/>
      <c r="K2052" s="260"/>
      <c r="L2052" s="260"/>
      <c r="M2052" s="260"/>
      <c r="N2052" s="260"/>
      <c r="O2052" s="260"/>
      <c r="P2052" s="211"/>
      <c r="Q2052" s="261"/>
      <c r="R2052" s="208" t="str">
        <f ca="1">IF(ISERROR($V2052),"",OFFSET('Smelter Look-up'!$C$4,$V2052-4,0)&amp;"")</f>
        <v/>
      </c>
      <c r="S2052" s="215" t="str">
        <f t="shared" ca="1" si="291"/>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si="292"/>
        <v>0</v>
      </c>
      <c r="Y2052" s="263"/>
      <c r="Z2052" s="263"/>
      <c r="AB2052" s="265" t="str">
        <f t="shared" si="293"/>
        <v/>
      </c>
    </row>
    <row r="2053" spans="1:28" s="264" customFormat="1" ht="20.399999999999999">
      <c r="A2053" s="207"/>
      <c r="B2053" s="208"/>
      <c r="C2053" s="212"/>
      <c r="D2053" s="270"/>
      <c r="E2053" s="208"/>
      <c r="F2053" s="208"/>
      <c r="G2053" s="208"/>
      <c r="H2053" s="209"/>
      <c r="I2053" s="210"/>
      <c r="J2053" s="210"/>
      <c r="K2053" s="260"/>
      <c r="L2053" s="260"/>
      <c r="M2053" s="260"/>
      <c r="N2053" s="260"/>
      <c r="O2053" s="260"/>
      <c r="P2053" s="211"/>
      <c r="Q2053" s="261"/>
      <c r="R2053" s="208" t="str">
        <f ca="1">IF(ISERROR($V2053),"",OFFSET('Smelter Look-up'!$C$4,$V2053-4,0)&amp;"")</f>
        <v/>
      </c>
      <c r="S2053" s="215" t="str">
        <f t="shared" ca="1" si="291"/>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si="292"/>
        <v>0</v>
      </c>
      <c r="Y2053" s="263"/>
      <c r="Z2053" s="263"/>
      <c r="AB2053" s="265" t="str">
        <f t="shared" si="293"/>
        <v/>
      </c>
    </row>
    <row r="2054" spans="1:28" s="264" customFormat="1" ht="20.399999999999999">
      <c r="A2054" s="207"/>
      <c r="B2054" s="208"/>
      <c r="C2054" s="212"/>
      <c r="D2054" s="270"/>
      <c r="E2054" s="208"/>
      <c r="F2054" s="208"/>
      <c r="G2054" s="208"/>
      <c r="H2054" s="209"/>
      <c r="I2054" s="210"/>
      <c r="J2054" s="210"/>
      <c r="K2054" s="260"/>
      <c r="L2054" s="260"/>
      <c r="M2054" s="260"/>
      <c r="N2054" s="260"/>
      <c r="O2054" s="260"/>
      <c r="P2054" s="211"/>
      <c r="Q2054" s="261"/>
      <c r="R2054" s="208" t="str">
        <f ca="1">IF(ISERROR($V2054),"",OFFSET('Smelter Look-up'!$C$4,$V2054-4,0)&amp;"")</f>
        <v/>
      </c>
      <c r="S2054" s="215" t="str">
        <f t="shared" ca="1" si="291"/>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si="292"/>
        <v>0</v>
      </c>
      <c r="Y2054" s="263"/>
      <c r="Z2054" s="263"/>
      <c r="AB2054" s="265" t="str">
        <f t="shared" si="293"/>
        <v/>
      </c>
    </row>
    <row r="2055" spans="1:28" s="264" customFormat="1" ht="20.399999999999999">
      <c r="A2055" s="207"/>
      <c r="B2055" s="208"/>
      <c r="C2055" s="212"/>
      <c r="D2055" s="270"/>
      <c r="E2055" s="208"/>
      <c r="F2055" s="208"/>
      <c r="G2055" s="208"/>
      <c r="H2055" s="209"/>
      <c r="I2055" s="210"/>
      <c r="J2055" s="210"/>
      <c r="K2055" s="260"/>
      <c r="L2055" s="260"/>
      <c r="M2055" s="260"/>
      <c r="N2055" s="260"/>
      <c r="O2055" s="260"/>
      <c r="P2055" s="211"/>
      <c r="Q2055" s="261"/>
      <c r="R2055" s="208" t="str">
        <f ca="1">IF(ISERROR($V2055),"",OFFSET('Smelter Look-up'!$C$4,$V2055-4,0)&amp;"")</f>
        <v/>
      </c>
      <c r="S2055" s="215" t="str">
        <f t="shared" ca="1" si="291"/>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si="292"/>
        <v>0</v>
      </c>
      <c r="Y2055" s="263"/>
      <c r="Z2055" s="263"/>
      <c r="AB2055" s="265" t="str">
        <f t="shared" si="293"/>
        <v/>
      </c>
    </row>
    <row r="2056" spans="1:28" s="264" customFormat="1" ht="20.399999999999999">
      <c r="A2056" s="207"/>
      <c r="B2056" s="208"/>
      <c r="C2056" s="212"/>
      <c r="D2056" s="270"/>
      <c r="E2056" s="208"/>
      <c r="F2056" s="208"/>
      <c r="G2056" s="208"/>
      <c r="H2056" s="209"/>
      <c r="I2056" s="210"/>
      <c r="J2056" s="210"/>
      <c r="K2056" s="260"/>
      <c r="L2056" s="260"/>
      <c r="M2056" s="260"/>
      <c r="N2056" s="260"/>
      <c r="O2056" s="260"/>
      <c r="P2056" s="211"/>
      <c r="Q2056" s="261"/>
      <c r="R2056" s="208" t="str">
        <f ca="1">IF(ISERROR($V2056),"",OFFSET('Smelter Look-up'!$C$4,$V2056-4,0)&amp;"")</f>
        <v/>
      </c>
      <c r="S2056" s="215" t="str">
        <f t="shared" ca="1" si="291"/>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si="292"/>
        <v>0</v>
      </c>
      <c r="Y2056" s="263"/>
      <c r="Z2056" s="263"/>
      <c r="AB2056" s="265" t="str">
        <f t="shared" si="293"/>
        <v/>
      </c>
    </row>
    <row r="2057" spans="1:28" s="264" customFormat="1" ht="20.399999999999999">
      <c r="A2057" s="207"/>
      <c r="B2057" s="208"/>
      <c r="C2057" s="212"/>
      <c r="D2057" s="270"/>
      <c r="E2057" s="208"/>
      <c r="F2057" s="208"/>
      <c r="G2057" s="208"/>
      <c r="H2057" s="209"/>
      <c r="I2057" s="210"/>
      <c r="J2057" s="210"/>
      <c r="K2057" s="260"/>
      <c r="L2057" s="260"/>
      <c r="M2057" s="260"/>
      <c r="N2057" s="260"/>
      <c r="O2057" s="260"/>
      <c r="P2057" s="211"/>
      <c r="Q2057" s="261"/>
      <c r="R2057" s="208" t="str">
        <f ca="1">IF(ISERROR($V2057),"",OFFSET('Smelter Look-up'!$C$4,$V2057-4,0)&amp;"")</f>
        <v/>
      </c>
      <c r="S2057" s="215" t="str">
        <f t="shared" ca="1" si="291"/>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si="292"/>
        <v>0</v>
      </c>
      <c r="Y2057" s="263"/>
      <c r="Z2057" s="263"/>
      <c r="AB2057" s="265" t="str">
        <f t="shared" si="293"/>
        <v/>
      </c>
    </row>
    <row r="2058" spans="1:28" s="264" customFormat="1" ht="20.399999999999999">
      <c r="A2058" s="207"/>
      <c r="B2058" s="208"/>
      <c r="C2058" s="212"/>
      <c r="D2058" s="270"/>
      <c r="E2058" s="208"/>
      <c r="F2058" s="208"/>
      <c r="G2058" s="208"/>
      <c r="H2058" s="209"/>
      <c r="I2058" s="210"/>
      <c r="J2058" s="210"/>
      <c r="K2058" s="260"/>
      <c r="L2058" s="260"/>
      <c r="M2058" s="260"/>
      <c r="N2058" s="260"/>
      <c r="O2058" s="260"/>
      <c r="P2058" s="211"/>
      <c r="Q2058" s="261"/>
      <c r="R2058" s="208" t="str">
        <f ca="1">IF(ISERROR($V2058),"",OFFSET('Smelter Look-up'!$C$4,$V2058-4,0)&amp;"")</f>
        <v/>
      </c>
      <c r="S2058" s="215" t="str">
        <f t="shared" ca="1" si="291"/>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si="292"/>
        <v>0</v>
      </c>
      <c r="Y2058" s="263"/>
      <c r="Z2058" s="263"/>
      <c r="AB2058" s="265" t="str">
        <f t="shared" si="293"/>
        <v/>
      </c>
    </row>
    <row r="2059" spans="1:28" s="264" customFormat="1" ht="20.399999999999999">
      <c r="A2059" s="207"/>
      <c r="B2059" s="208"/>
      <c r="C2059" s="212"/>
      <c r="D2059" s="270"/>
      <c r="E2059" s="208"/>
      <c r="F2059" s="208"/>
      <c r="G2059" s="208"/>
      <c r="H2059" s="209"/>
      <c r="I2059" s="210"/>
      <c r="J2059" s="210"/>
      <c r="K2059" s="260"/>
      <c r="L2059" s="260"/>
      <c r="M2059" s="260"/>
      <c r="N2059" s="260"/>
      <c r="O2059" s="260"/>
      <c r="P2059" s="211"/>
      <c r="Q2059" s="261"/>
      <c r="R2059" s="208" t="str">
        <f ca="1">IF(ISERROR($V2059),"",OFFSET('Smelter Look-up'!$C$4,$V2059-4,0)&amp;"")</f>
        <v/>
      </c>
      <c r="S2059" s="215" t="str">
        <f t="shared" ca="1" si="291"/>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si="292"/>
        <v>0</v>
      </c>
      <c r="Y2059" s="263"/>
      <c r="Z2059" s="263"/>
      <c r="AB2059" s="265" t="str">
        <f t="shared" si="293"/>
        <v/>
      </c>
    </row>
    <row r="2060" spans="1:28" s="264" customFormat="1" ht="20.399999999999999">
      <c r="A2060" s="207"/>
      <c r="B2060" s="208"/>
      <c r="C2060" s="212"/>
      <c r="D2060" s="270"/>
      <c r="E2060" s="208"/>
      <c r="F2060" s="208"/>
      <c r="G2060" s="208"/>
      <c r="H2060" s="209"/>
      <c r="I2060" s="210"/>
      <c r="J2060" s="210"/>
      <c r="K2060" s="260"/>
      <c r="L2060" s="260"/>
      <c r="M2060" s="260"/>
      <c r="N2060" s="260"/>
      <c r="O2060" s="260"/>
      <c r="P2060" s="211"/>
      <c r="Q2060" s="261"/>
      <c r="R2060" s="208" t="str">
        <f ca="1">IF(ISERROR($V2060),"",OFFSET('Smelter Look-up'!$C$4,$V2060-4,0)&amp;"")</f>
        <v/>
      </c>
      <c r="S2060" s="215" t="str">
        <f t="shared" ca="1" si="291"/>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si="292"/>
        <v>0</v>
      </c>
      <c r="Y2060" s="263"/>
      <c r="Z2060" s="263"/>
      <c r="AB2060" s="265" t="str">
        <f t="shared" si="293"/>
        <v/>
      </c>
    </row>
    <row r="2061" spans="1:28" s="264" customFormat="1" ht="20.399999999999999">
      <c r="A2061" s="207"/>
      <c r="B2061" s="208"/>
      <c r="C2061" s="212"/>
      <c r="D2061" s="270"/>
      <c r="E2061" s="208"/>
      <c r="F2061" s="208"/>
      <c r="G2061" s="208"/>
      <c r="H2061" s="209"/>
      <c r="I2061" s="210"/>
      <c r="J2061" s="210"/>
      <c r="K2061" s="260"/>
      <c r="L2061" s="260"/>
      <c r="M2061" s="260"/>
      <c r="N2061" s="260"/>
      <c r="O2061" s="260"/>
      <c r="P2061" s="211"/>
      <c r="Q2061" s="261"/>
      <c r="R2061" s="208" t="str">
        <f ca="1">IF(ISERROR($V2061),"",OFFSET('Smelter Look-up'!$C$4,$V2061-4,0)&amp;"")</f>
        <v/>
      </c>
      <c r="S2061" s="215" t="str">
        <f t="shared" ca="1" si="291"/>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si="292"/>
        <v>0</v>
      </c>
      <c r="Y2061" s="263"/>
      <c r="Z2061" s="263"/>
      <c r="AB2061" s="265" t="str">
        <f t="shared" si="293"/>
        <v/>
      </c>
    </row>
    <row r="2062" spans="1:28" s="264" customFormat="1" ht="20.399999999999999">
      <c r="A2062" s="207"/>
      <c r="B2062" s="208"/>
      <c r="C2062" s="212"/>
      <c r="D2062" s="270"/>
      <c r="E2062" s="208"/>
      <c r="F2062" s="208"/>
      <c r="G2062" s="208"/>
      <c r="H2062" s="209"/>
      <c r="I2062" s="210"/>
      <c r="J2062" s="210"/>
      <c r="K2062" s="260"/>
      <c r="L2062" s="260"/>
      <c r="M2062" s="260"/>
      <c r="N2062" s="260"/>
      <c r="O2062" s="260"/>
      <c r="P2062" s="211"/>
      <c r="Q2062" s="261"/>
      <c r="R2062" s="208" t="str">
        <f ca="1">IF(ISERROR($V2062),"",OFFSET('Smelter Look-up'!$C$4,$V2062-4,0)&amp;"")</f>
        <v/>
      </c>
      <c r="S2062" s="215" t="str">
        <f t="shared" ca="1" si="291"/>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si="292"/>
        <v>0</v>
      </c>
      <c r="Y2062" s="263"/>
      <c r="Z2062" s="263"/>
      <c r="AB2062" s="265" t="str">
        <f t="shared" si="293"/>
        <v/>
      </c>
    </row>
    <row r="2063" spans="1:28" s="264" customFormat="1" ht="20.399999999999999">
      <c r="A2063" s="207"/>
      <c r="B2063" s="208"/>
      <c r="C2063" s="212"/>
      <c r="D2063" s="270"/>
      <c r="E2063" s="208"/>
      <c r="F2063" s="208"/>
      <c r="G2063" s="208"/>
      <c r="H2063" s="209"/>
      <c r="I2063" s="210"/>
      <c r="J2063" s="210"/>
      <c r="K2063" s="260"/>
      <c r="L2063" s="260"/>
      <c r="M2063" s="260"/>
      <c r="N2063" s="260"/>
      <c r="O2063" s="260"/>
      <c r="P2063" s="211"/>
      <c r="Q2063" s="261"/>
      <c r="R2063" s="208" t="str">
        <f ca="1">IF(ISERROR($V2063),"",OFFSET('Smelter Look-up'!$C$4,$V2063-4,0)&amp;"")</f>
        <v/>
      </c>
      <c r="S2063" s="215" t="str">
        <f t="shared" ca="1" si="291"/>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si="292"/>
        <v>0</v>
      </c>
      <c r="Y2063" s="263"/>
      <c r="Z2063" s="263"/>
      <c r="AB2063" s="265" t="str">
        <f t="shared" si="293"/>
        <v/>
      </c>
    </row>
    <row r="2064" spans="1:28" s="264" customFormat="1" ht="20.399999999999999">
      <c r="A2064" s="207"/>
      <c r="B2064" s="208"/>
      <c r="C2064" s="212"/>
      <c r="D2064" s="270"/>
      <c r="E2064" s="208"/>
      <c r="F2064" s="208"/>
      <c r="G2064" s="208"/>
      <c r="H2064" s="209"/>
      <c r="I2064" s="210"/>
      <c r="J2064" s="210"/>
      <c r="K2064" s="260"/>
      <c r="L2064" s="260"/>
      <c r="M2064" s="260"/>
      <c r="N2064" s="260"/>
      <c r="O2064" s="260"/>
      <c r="P2064" s="211"/>
      <c r="Q2064" s="261"/>
      <c r="R2064" s="208" t="str">
        <f ca="1">IF(ISERROR($V2064),"",OFFSET('Smelter Look-up'!$C$4,$V2064-4,0)&amp;"")</f>
        <v/>
      </c>
      <c r="S2064" s="215" t="str">
        <f t="shared" ca="1" si="291"/>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si="292"/>
        <v>0</v>
      </c>
      <c r="Y2064" s="263"/>
      <c r="Z2064" s="263"/>
      <c r="AB2064" s="265" t="str">
        <f t="shared" si="293"/>
        <v/>
      </c>
    </row>
    <row r="2065" spans="1:28" s="264" customFormat="1" ht="20.399999999999999">
      <c r="A2065" s="207"/>
      <c r="B2065" s="208"/>
      <c r="C2065" s="212"/>
      <c r="D2065" s="270"/>
      <c r="E2065" s="208"/>
      <c r="F2065" s="208"/>
      <c r="G2065" s="208"/>
      <c r="H2065" s="209"/>
      <c r="I2065" s="210"/>
      <c r="J2065" s="210"/>
      <c r="K2065" s="260"/>
      <c r="L2065" s="260"/>
      <c r="M2065" s="260"/>
      <c r="N2065" s="260"/>
      <c r="O2065" s="260"/>
      <c r="P2065" s="211"/>
      <c r="Q2065" s="261"/>
      <c r="R2065" s="208" t="str">
        <f ca="1">IF(ISERROR($V2065),"",OFFSET('Smelter Look-up'!$C$4,$V2065-4,0)&amp;"")</f>
        <v/>
      </c>
      <c r="S2065" s="215" t="str">
        <f t="shared" ca="1" si="291"/>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si="292"/>
        <v>0</v>
      </c>
      <c r="Y2065" s="263"/>
      <c r="Z2065" s="263"/>
      <c r="AB2065" s="265" t="str">
        <f t="shared" si="293"/>
        <v/>
      </c>
    </row>
    <row r="2066" spans="1:28" s="264" customFormat="1" ht="20.399999999999999">
      <c r="A2066" s="207"/>
      <c r="B2066" s="208"/>
      <c r="C2066" s="212"/>
      <c r="D2066" s="270"/>
      <c r="E2066" s="208"/>
      <c r="F2066" s="208"/>
      <c r="G2066" s="208"/>
      <c r="H2066" s="209"/>
      <c r="I2066" s="210"/>
      <c r="J2066" s="210"/>
      <c r="K2066" s="260"/>
      <c r="L2066" s="260"/>
      <c r="M2066" s="260"/>
      <c r="N2066" s="260"/>
      <c r="O2066" s="260"/>
      <c r="P2066" s="211"/>
      <c r="Q2066" s="261"/>
      <c r="R2066" s="208" t="str">
        <f ca="1">IF(ISERROR($V2066),"",OFFSET('Smelter Look-up'!$C$4,$V2066-4,0)&amp;"")</f>
        <v/>
      </c>
      <c r="S2066" s="215" t="str">
        <f t="shared" ca="1" si="291"/>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si="292"/>
        <v>0</v>
      </c>
      <c r="Y2066" s="263"/>
      <c r="Z2066" s="263"/>
      <c r="AB2066" s="265" t="str">
        <f t="shared" si="293"/>
        <v/>
      </c>
    </row>
    <row r="2067" spans="1:28" s="264" customFormat="1" ht="20.399999999999999">
      <c r="A2067" s="207"/>
      <c r="B2067" s="208"/>
      <c r="C2067" s="212"/>
      <c r="D2067" s="270"/>
      <c r="E2067" s="208"/>
      <c r="F2067" s="208"/>
      <c r="G2067" s="208"/>
      <c r="H2067" s="209"/>
      <c r="I2067" s="210"/>
      <c r="J2067" s="210"/>
      <c r="K2067" s="260"/>
      <c r="L2067" s="260"/>
      <c r="M2067" s="260"/>
      <c r="N2067" s="260"/>
      <c r="O2067" s="260"/>
      <c r="P2067" s="211"/>
      <c r="Q2067" s="261"/>
      <c r="R2067" s="208" t="str">
        <f ca="1">IF(ISERROR($V2067),"",OFFSET('Smelter Look-up'!$C$4,$V2067-4,0)&amp;"")</f>
        <v/>
      </c>
      <c r="S2067" s="215" t="str">
        <f t="shared" ca="1" si="291"/>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si="292"/>
        <v>0</v>
      </c>
      <c r="Y2067" s="263"/>
      <c r="Z2067" s="263"/>
      <c r="AB2067" s="265" t="str">
        <f t="shared" si="293"/>
        <v/>
      </c>
    </row>
    <row r="2068" spans="1:28" s="264" customFormat="1" ht="20.399999999999999">
      <c r="A2068" s="207"/>
      <c r="B2068" s="208"/>
      <c r="C2068" s="212"/>
      <c r="D2068" s="270"/>
      <c r="E2068" s="208"/>
      <c r="F2068" s="208"/>
      <c r="G2068" s="208"/>
      <c r="H2068" s="209"/>
      <c r="I2068" s="210"/>
      <c r="J2068" s="210"/>
      <c r="K2068" s="260"/>
      <c r="L2068" s="260"/>
      <c r="M2068" s="260"/>
      <c r="N2068" s="260"/>
      <c r="O2068" s="260"/>
      <c r="P2068" s="211"/>
      <c r="Q2068" s="261"/>
      <c r="R2068" s="208" t="str">
        <f ca="1">IF(ISERROR($V2068),"",OFFSET('Smelter Look-up'!$C$4,$V2068-4,0)&amp;"")</f>
        <v/>
      </c>
      <c r="S2068" s="215" t="str">
        <f t="shared" ca="1" si="291"/>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si="292"/>
        <v>0</v>
      </c>
      <c r="Y2068" s="263"/>
      <c r="Z2068" s="263"/>
      <c r="AB2068" s="265" t="str">
        <f t="shared" si="293"/>
        <v/>
      </c>
    </row>
    <row r="2069" spans="1:28" s="264" customFormat="1" ht="20.399999999999999">
      <c r="A2069" s="207"/>
      <c r="B2069" s="208"/>
      <c r="C2069" s="212"/>
      <c r="D2069" s="270"/>
      <c r="E2069" s="208"/>
      <c r="F2069" s="208"/>
      <c r="G2069" s="208"/>
      <c r="H2069" s="209"/>
      <c r="I2069" s="210"/>
      <c r="J2069" s="210"/>
      <c r="K2069" s="260"/>
      <c r="L2069" s="260"/>
      <c r="M2069" s="260"/>
      <c r="N2069" s="260"/>
      <c r="O2069" s="260"/>
      <c r="P2069" s="211"/>
      <c r="Q2069" s="261"/>
      <c r="R2069" s="208" t="str">
        <f ca="1">IF(ISERROR($V2069),"",OFFSET('Smelter Look-up'!$C$4,$V2069-4,0)&amp;"")</f>
        <v/>
      </c>
      <c r="S2069" s="215" t="str">
        <f t="shared" ca="1" si="291"/>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si="292"/>
        <v>0</v>
      </c>
      <c r="Y2069" s="263"/>
      <c r="Z2069" s="263"/>
      <c r="AB2069" s="265" t="str">
        <f t="shared" si="293"/>
        <v/>
      </c>
    </row>
    <row r="2070" spans="1:28" s="264" customFormat="1" ht="20.399999999999999">
      <c r="A2070" s="207"/>
      <c r="B2070" s="208"/>
      <c r="C2070" s="212"/>
      <c r="D2070" s="270"/>
      <c r="E2070" s="208"/>
      <c r="F2070" s="208"/>
      <c r="G2070" s="208"/>
      <c r="H2070" s="209"/>
      <c r="I2070" s="210"/>
      <c r="J2070" s="210"/>
      <c r="K2070" s="260"/>
      <c r="L2070" s="260"/>
      <c r="M2070" s="260"/>
      <c r="N2070" s="260"/>
      <c r="O2070" s="260"/>
      <c r="P2070" s="211"/>
      <c r="Q2070" s="261"/>
      <c r="R2070" s="208" t="str">
        <f ca="1">IF(ISERROR($V2070),"",OFFSET('Smelter Look-up'!$C$4,$V2070-4,0)&amp;"")</f>
        <v/>
      </c>
      <c r="S2070" s="215" t="str">
        <f t="shared" ca="1" si="291"/>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si="292"/>
        <v>0</v>
      </c>
      <c r="Y2070" s="263"/>
      <c r="Z2070" s="263"/>
      <c r="AB2070" s="265" t="str">
        <f t="shared" si="293"/>
        <v/>
      </c>
    </row>
    <row r="2071" spans="1:28" s="264" customFormat="1" ht="20.399999999999999">
      <c r="A2071" s="207"/>
      <c r="B2071" s="208"/>
      <c r="C2071" s="212"/>
      <c r="D2071" s="270"/>
      <c r="E2071" s="208"/>
      <c r="F2071" s="208"/>
      <c r="G2071" s="208"/>
      <c r="H2071" s="209"/>
      <c r="I2071" s="210"/>
      <c r="J2071" s="210"/>
      <c r="K2071" s="260"/>
      <c r="L2071" s="260"/>
      <c r="M2071" s="260"/>
      <c r="N2071" s="260"/>
      <c r="O2071" s="260"/>
      <c r="P2071" s="211"/>
      <c r="Q2071" s="261"/>
      <c r="R2071" s="208" t="str">
        <f ca="1">IF(ISERROR($V2071),"",OFFSET('Smelter Look-up'!$C$4,$V2071-4,0)&amp;"")</f>
        <v/>
      </c>
      <c r="S2071" s="215" t="str">
        <f t="shared" ca="1" si="291"/>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si="292"/>
        <v>0</v>
      </c>
      <c r="Y2071" s="263"/>
      <c r="Z2071" s="263"/>
      <c r="AB2071" s="265" t="str">
        <f t="shared" si="293"/>
        <v/>
      </c>
    </row>
    <row r="2072" spans="1:28" s="264" customFormat="1" ht="20.399999999999999">
      <c r="A2072" s="207"/>
      <c r="B2072" s="208"/>
      <c r="C2072" s="212"/>
      <c r="D2072" s="270"/>
      <c r="E2072" s="208"/>
      <c r="F2072" s="208"/>
      <c r="G2072" s="208"/>
      <c r="H2072" s="209"/>
      <c r="I2072" s="210"/>
      <c r="J2072" s="210"/>
      <c r="K2072" s="260"/>
      <c r="L2072" s="260"/>
      <c r="M2072" s="260"/>
      <c r="N2072" s="260"/>
      <c r="O2072" s="260"/>
      <c r="P2072" s="211"/>
      <c r="Q2072" s="261"/>
      <c r="R2072" s="208" t="str">
        <f ca="1">IF(ISERROR($V2072),"",OFFSET('Smelter Look-up'!$C$4,$V2072-4,0)&amp;"")</f>
        <v/>
      </c>
      <c r="S2072" s="215" t="str">
        <f t="shared" ca="1" si="291"/>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si="292"/>
        <v>0</v>
      </c>
      <c r="Y2072" s="263"/>
      <c r="Z2072" s="263"/>
      <c r="AB2072" s="265" t="str">
        <f t="shared" si="293"/>
        <v/>
      </c>
    </row>
    <row r="2073" spans="1:28" s="264" customFormat="1" ht="20.399999999999999">
      <c r="A2073" s="207"/>
      <c r="B2073" s="208"/>
      <c r="C2073" s="212"/>
      <c r="D2073" s="270"/>
      <c r="E2073" s="208"/>
      <c r="F2073" s="208"/>
      <c r="G2073" s="208"/>
      <c r="H2073" s="209"/>
      <c r="I2073" s="210"/>
      <c r="J2073" s="210"/>
      <c r="K2073" s="260"/>
      <c r="L2073" s="260"/>
      <c r="M2073" s="260"/>
      <c r="N2073" s="260"/>
      <c r="O2073" s="260"/>
      <c r="P2073" s="211"/>
      <c r="Q2073" s="261"/>
      <c r="R2073" s="208" t="str">
        <f ca="1">IF(ISERROR($V2073),"",OFFSET('Smelter Look-up'!$C$4,$V2073-4,0)&amp;"")</f>
        <v/>
      </c>
      <c r="S2073" s="215" t="str">
        <f t="shared" ca="1" si="291"/>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si="292"/>
        <v>0</v>
      </c>
      <c r="Y2073" s="263"/>
      <c r="Z2073" s="263"/>
      <c r="AB2073" s="265" t="str">
        <f t="shared" si="293"/>
        <v/>
      </c>
    </row>
    <row r="2074" spans="1:28" s="264" customFormat="1" ht="20.399999999999999">
      <c r="A2074" s="207"/>
      <c r="B2074" s="208"/>
      <c r="C2074" s="212"/>
      <c r="D2074" s="270"/>
      <c r="E2074" s="208"/>
      <c r="F2074" s="208"/>
      <c r="G2074" s="208"/>
      <c r="H2074" s="209"/>
      <c r="I2074" s="210"/>
      <c r="J2074" s="210"/>
      <c r="K2074" s="260"/>
      <c r="L2074" s="260"/>
      <c r="M2074" s="260"/>
      <c r="N2074" s="260"/>
      <c r="O2074" s="260"/>
      <c r="P2074" s="211"/>
      <c r="Q2074" s="261"/>
      <c r="R2074" s="208" t="str">
        <f ca="1">IF(ISERROR($V2074),"",OFFSET('Smelter Look-up'!$C$4,$V2074-4,0)&amp;"")</f>
        <v/>
      </c>
      <c r="S2074" s="215" t="str">
        <f t="shared" ca="1" si="291"/>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si="292"/>
        <v>0</v>
      </c>
      <c r="Y2074" s="263"/>
      <c r="Z2074" s="263"/>
      <c r="AB2074" s="265" t="str">
        <f t="shared" si="293"/>
        <v/>
      </c>
    </row>
    <row r="2075" spans="1:28" s="264" customFormat="1" ht="20.399999999999999">
      <c r="A2075" s="207"/>
      <c r="B2075" s="208"/>
      <c r="C2075" s="212"/>
      <c r="D2075" s="270"/>
      <c r="E2075" s="208"/>
      <c r="F2075" s="208"/>
      <c r="G2075" s="208"/>
      <c r="H2075" s="209"/>
      <c r="I2075" s="210"/>
      <c r="J2075" s="210"/>
      <c r="K2075" s="260"/>
      <c r="L2075" s="260"/>
      <c r="M2075" s="260"/>
      <c r="N2075" s="260"/>
      <c r="O2075" s="260"/>
      <c r="P2075" s="211"/>
      <c r="Q2075" s="261"/>
      <c r="R2075" s="208" t="str">
        <f ca="1">IF(ISERROR($V2075),"",OFFSET('Smelter Look-up'!$C$4,$V2075-4,0)&amp;"")</f>
        <v/>
      </c>
      <c r="S2075" s="215" t="str">
        <f t="shared" ca="1" si="291"/>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si="292"/>
        <v>0</v>
      </c>
      <c r="Y2075" s="263"/>
      <c r="Z2075" s="263"/>
      <c r="AB2075" s="265" t="str">
        <f t="shared" si="293"/>
        <v/>
      </c>
    </row>
    <row r="2076" spans="1:28" s="264" customFormat="1" ht="20.399999999999999">
      <c r="A2076" s="207"/>
      <c r="B2076" s="208"/>
      <c r="C2076" s="212"/>
      <c r="D2076" s="270"/>
      <c r="E2076" s="208"/>
      <c r="F2076" s="208"/>
      <c r="G2076" s="208"/>
      <c r="H2076" s="209"/>
      <c r="I2076" s="210"/>
      <c r="J2076" s="210"/>
      <c r="K2076" s="260"/>
      <c r="L2076" s="260"/>
      <c r="M2076" s="260"/>
      <c r="N2076" s="260"/>
      <c r="O2076" s="260"/>
      <c r="P2076" s="211"/>
      <c r="Q2076" s="261"/>
      <c r="R2076" s="208" t="str">
        <f ca="1">IF(ISERROR($V2076),"",OFFSET('Smelter Look-up'!$C$4,$V2076-4,0)&amp;"")</f>
        <v/>
      </c>
      <c r="S2076" s="215" t="str">
        <f t="shared" ref="S2076:S2106" ca="1" si="294">IF(B2076="","",IF(ISERROR(MATCH($E2076,CL,0)),"Unknown",INDIRECT("'C'!$A$"&amp;MATCH($E2076,CL,0)+1)))</f>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ref="X2076:X2106" si="295">IF(AND(C2076="Smelter not listed",OR(LEN(D2076)=0,LEN(E2076)=0)),1,0)</f>
        <v>0</v>
      </c>
      <c r="Y2076" s="263"/>
      <c r="Z2076" s="263"/>
      <c r="AB2076" s="265" t="str">
        <f t="shared" ref="AB2076:AB2106" si="296">B2076&amp;C2076</f>
        <v/>
      </c>
    </row>
    <row r="2077" spans="1:28" s="264" customFormat="1" ht="20.399999999999999">
      <c r="A2077" s="207"/>
      <c r="B2077" s="208"/>
      <c r="C2077" s="212"/>
      <c r="D2077" s="270"/>
      <c r="E2077" s="208"/>
      <c r="F2077" s="208"/>
      <c r="G2077" s="208"/>
      <c r="H2077" s="209"/>
      <c r="I2077" s="210"/>
      <c r="J2077" s="210"/>
      <c r="K2077" s="260"/>
      <c r="L2077" s="260"/>
      <c r="M2077" s="260"/>
      <c r="N2077" s="260"/>
      <c r="O2077" s="260"/>
      <c r="P2077" s="211"/>
      <c r="Q2077" s="261"/>
      <c r="R2077" s="208" t="str">
        <f ca="1">IF(ISERROR($V2077),"",OFFSET('Smelter Look-up'!$C$4,$V2077-4,0)&amp;"")</f>
        <v/>
      </c>
      <c r="S2077" s="215" t="str">
        <f t="shared" ca="1" si="294"/>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si="295"/>
        <v>0</v>
      </c>
      <c r="Y2077" s="263"/>
      <c r="Z2077" s="263"/>
      <c r="AB2077" s="265" t="str">
        <f t="shared" si="296"/>
        <v/>
      </c>
    </row>
    <row r="2078" spans="1:28" s="264" customFormat="1" ht="20.399999999999999">
      <c r="A2078" s="207"/>
      <c r="B2078" s="208"/>
      <c r="C2078" s="212"/>
      <c r="D2078" s="270"/>
      <c r="E2078" s="208"/>
      <c r="F2078" s="208"/>
      <c r="G2078" s="208"/>
      <c r="H2078" s="209"/>
      <c r="I2078" s="210"/>
      <c r="J2078" s="210"/>
      <c r="K2078" s="260"/>
      <c r="L2078" s="260"/>
      <c r="M2078" s="260"/>
      <c r="N2078" s="260"/>
      <c r="O2078" s="260"/>
      <c r="P2078" s="211"/>
      <c r="Q2078" s="261"/>
      <c r="R2078" s="208" t="str">
        <f ca="1">IF(ISERROR($V2078),"",OFFSET('Smelter Look-up'!$C$4,$V2078-4,0)&amp;"")</f>
        <v/>
      </c>
      <c r="S2078" s="215" t="str">
        <f t="shared" ca="1" si="294"/>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si="295"/>
        <v>0</v>
      </c>
      <c r="Y2078" s="263"/>
      <c r="Z2078" s="263"/>
      <c r="AB2078" s="265" t="str">
        <f t="shared" si="296"/>
        <v/>
      </c>
    </row>
    <row r="2079" spans="1:28" s="264" customFormat="1" ht="20.399999999999999">
      <c r="A2079" s="207"/>
      <c r="B2079" s="208"/>
      <c r="C2079" s="212"/>
      <c r="D2079" s="270"/>
      <c r="E2079" s="208"/>
      <c r="F2079" s="208"/>
      <c r="G2079" s="208"/>
      <c r="H2079" s="209"/>
      <c r="I2079" s="210"/>
      <c r="J2079" s="210"/>
      <c r="K2079" s="260"/>
      <c r="L2079" s="260"/>
      <c r="M2079" s="260"/>
      <c r="N2079" s="260"/>
      <c r="O2079" s="260"/>
      <c r="P2079" s="211"/>
      <c r="Q2079" s="261"/>
      <c r="R2079" s="208" t="str">
        <f ca="1">IF(ISERROR($V2079),"",OFFSET('Smelter Look-up'!$C$4,$V2079-4,0)&amp;"")</f>
        <v/>
      </c>
      <c r="S2079" s="215" t="str">
        <f t="shared" ca="1" si="294"/>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si="295"/>
        <v>0</v>
      </c>
      <c r="Y2079" s="263"/>
      <c r="Z2079" s="263"/>
      <c r="AB2079" s="265" t="str">
        <f t="shared" si="296"/>
        <v/>
      </c>
    </row>
    <row r="2080" spans="1:28" s="264" customFormat="1" ht="20.399999999999999">
      <c r="A2080" s="207"/>
      <c r="B2080" s="208"/>
      <c r="C2080" s="212"/>
      <c r="D2080" s="270"/>
      <c r="E2080" s="208"/>
      <c r="F2080" s="208"/>
      <c r="G2080" s="208"/>
      <c r="H2080" s="209"/>
      <c r="I2080" s="210"/>
      <c r="J2080" s="210"/>
      <c r="K2080" s="260"/>
      <c r="L2080" s="260"/>
      <c r="M2080" s="260"/>
      <c r="N2080" s="260"/>
      <c r="O2080" s="260"/>
      <c r="P2080" s="211"/>
      <c r="Q2080" s="261"/>
      <c r="R2080" s="208" t="str">
        <f ca="1">IF(ISERROR($V2080),"",OFFSET('Smelter Look-up'!$C$4,$V2080-4,0)&amp;"")</f>
        <v/>
      </c>
      <c r="S2080" s="215" t="str">
        <f t="shared" ca="1" si="294"/>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si="295"/>
        <v>0</v>
      </c>
      <c r="Y2080" s="263"/>
      <c r="Z2080" s="263"/>
      <c r="AB2080" s="265" t="str">
        <f t="shared" si="296"/>
        <v/>
      </c>
    </row>
    <row r="2081" spans="1:28" s="264" customFormat="1" ht="20.399999999999999">
      <c r="A2081" s="207"/>
      <c r="B2081" s="208"/>
      <c r="C2081" s="212"/>
      <c r="D2081" s="270"/>
      <c r="E2081" s="208"/>
      <c r="F2081" s="208"/>
      <c r="G2081" s="208"/>
      <c r="H2081" s="209"/>
      <c r="I2081" s="210"/>
      <c r="J2081" s="210"/>
      <c r="K2081" s="260"/>
      <c r="L2081" s="260"/>
      <c r="M2081" s="260"/>
      <c r="N2081" s="260"/>
      <c r="O2081" s="260"/>
      <c r="P2081" s="211"/>
      <c r="Q2081" s="261"/>
      <c r="R2081" s="208" t="str">
        <f ca="1">IF(ISERROR($V2081),"",OFFSET('Smelter Look-up'!$C$4,$V2081-4,0)&amp;"")</f>
        <v/>
      </c>
      <c r="S2081" s="215" t="str">
        <f t="shared" ca="1" si="294"/>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si="295"/>
        <v>0</v>
      </c>
      <c r="Y2081" s="263"/>
      <c r="Z2081" s="263"/>
      <c r="AB2081" s="265" t="str">
        <f t="shared" si="296"/>
        <v/>
      </c>
    </row>
    <row r="2082" spans="1:28" s="264" customFormat="1" ht="20.399999999999999">
      <c r="A2082" s="207"/>
      <c r="B2082" s="208"/>
      <c r="C2082" s="212"/>
      <c r="D2082" s="270"/>
      <c r="E2082" s="208"/>
      <c r="F2082" s="208"/>
      <c r="G2082" s="208"/>
      <c r="H2082" s="209"/>
      <c r="I2082" s="210"/>
      <c r="J2082" s="210"/>
      <c r="K2082" s="260"/>
      <c r="L2082" s="260"/>
      <c r="M2082" s="260"/>
      <c r="N2082" s="260"/>
      <c r="O2082" s="260"/>
      <c r="P2082" s="211"/>
      <c r="Q2082" s="261"/>
      <c r="R2082" s="208" t="str">
        <f ca="1">IF(ISERROR($V2082),"",OFFSET('Smelter Look-up'!$C$4,$V2082-4,0)&amp;"")</f>
        <v/>
      </c>
      <c r="S2082" s="215" t="str">
        <f t="shared" ca="1" si="294"/>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si="295"/>
        <v>0</v>
      </c>
      <c r="Y2082" s="263"/>
      <c r="Z2082" s="263"/>
      <c r="AB2082" s="265" t="str">
        <f t="shared" si="296"/>
        <v/>
      </c>
    </row>
    <row r="2083" spans="1:28" s="264" customFormat="1" ht="20.399999999999999">
      <c r="A2083" s="207"/>
      <c r="B2083" s="208"/>
      <c r="C2083" s="212"/>
      <c r="D2083" s="270"/>
      <c r="E2083" s="208"/>
      <c r="F2083" s="208"/>
      <c r="G2083" s="208"/>
      <c r="H2083" s="209"/>
      <c r="I2083" s="210"/>
      <c r="J2083" s="210"/>
      <c r="K2083" s="260"/>
      <c r="L2083" s="260"/>
      <c r="M2083" s="260"/>
      <c r="N2083" s="260"/>
      <c r="O2083" s="260"/>
      <c r="P2083" s="211"/>
      <c r="Q2083" s="261"/>
      <c r="R2083" s="208" t="str">
        <f ca="1">IF(ISERROR($V2083),"",OFFSET('Smelter Look-up'!$C$4,$V2083-4,0)&amp;"")</f>
        <v/>
      </c>
      <c r="S2083" s="215" t="str">
        <f t="shared" ca="1" si="294"/>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si="295"/>
        <v>0</v>
      </c>
      <c r="Y2083" s="263"/>
      <c r="Z2083" s="263"/>
      <c r="AB2083" s="265" t="str">
        <f t="shared" si="296"/>
        <v/>
      </c>
    </row>
    <row r="2084" spans="1:28" s="264" customFormat="1" ht="20.399999999999999">
      <c r="A2084" s="207"/>
      <c r="B2084" s="208"/>
      <c r="C2084" s="212"/>
      <c r="D2084" s="270"/>
      <c r="E2084" s="208"/>
      <c r="F2084" s="208"/>
      <c r="G2084" s="208"/>
      <c r="H2084" s="209"/>
      <c r="I2084" s="210"/>
      <c r="J2084" s="210"/>
      <c r="K2084" s="260"/>
      <c r="L2084" s="260"/>
      <c r="M2084" s="260"/>
      <c r="N2084" s="260"/>
      <c r="O2084" s="260"/>
      <c r="P2084" s="211"/>
      <c r="Q2084" s="261"/>
      <c r="R2084" s="208" t="str">
        <f ca="1">IF(ISERROR($V2084),"",OFFSET('Smelter Look-up'!$C$4,$V2084-4,0)&amp;"")</f>
        <v/>
      </c>
      <c r="S2084" s="215" t="str">
        <f t="shared" ca="1" si="294"/>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si="295"/>
        <v>0</v>
      </c>
      <c r="Y2084" s="263"/>
      <c r="Z2084" s="263"/>
      <c r="AB2084" s="265" t="str">
        <f t="shared" si="296"/>
        <v/>
      </c>
    </row>
    <row r="2085" spans="1:28" s="264" customFormat="1" ht="20.399999999999999">
      <c r="A2085" s="207"/>
      <c r="B2085" s="208"/>
      <c r="C2085" s="212"/>
      <c r="D2085" s="270"/>
      <c r="E2085" s="208"/>
      <c r="F2085" s="208"/>
      <c r="G2085" s="208"/>
      <c r="H2085" s="209"/>
      <c r="I2085" s="210"/>
      <c r="J2085" s="210"/>
      <c r="K2085" s="260"/>
      <c r="L2085" s="260"/>
      <c r="M2085" s="260"/>
      <c r="N2085" s="260"/>
      <c r="O2085" s="260"/>
      <c r="P2085" s="211"/>
      <c r="Q2085" s="261"/>
      <c r="R2085" s="208" t="str">
        <f ca="1">IF(ISERROR($V2085),"",OFFSET('Smelter Look-up'!$C$4,$V2085-4,0)&amp;"")</f>
        <v/>
      </c>
      <c r="S2085" s="215" t="str">
        <f t="shared" ca="1" si="294"/>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si="295"/>
        <v>0</v>
      </c>
      <c r="Y2085" s="263"/>
      <c r="Z2085" s="263"/>
      <c r="AB2085" s="265" t="str">
        <f t="shared" si="296"/>
        <v/>
      </c>
    </row>
    <row r="2086" spans="1:28" s="264" customFormat="1" ht="20.399999999999999">
      <c r="A2086" s="207"/>
      <c r="B2086" s="208"/>
      <c r="C2086" s="212"/>
      <c r="D2086" s="270"/>
      <c r="E2086" s="208"/>
      <c r="F2086" s="208"/>
      <c r="G2086" s="208"/>
      <c r="H2086" s="209"/>
      <c r="I2086" s="210"/>
      <c r="J2086" s="210"/>
      <c r="K2086" s="260"/>
      <c r="L2086" s="260"/>
      <c r="M2086" s="260"/>
      <c r="N2086" s="260"/>
      <c r="O2086" s="260"/>
      <c r="P2086" s="211"/>
      <c r="Q2086" s="261"/>
      <c r="R2086" s="208" t="str">
        <f ca="1">IF(ISERROR($V2086),"",OFFSET('Smelter Look-up'!$C$4,$V2086-4,0)&amp;"")</f>
        <v/>
      </c>
      <c r="S2086" s="215" t="str">
        <f t="shared" ca="1" si="294"/>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si="295"/>
        <v>0</v>
      </c>
      <c r="Y2086" s="263"/>
      <c r="Z2086" s="263"/>
      <c r="AB2086" s="265" t="str">
        <f t="shared" si="296"/>
        <v/>
      </c>
    </row>
    <row r="2087" spans="1:28" s="264" customFormat="1" ht="20.399999999999999">
      <c r="A2087" s="207"/>
      <c r="B2087" s="208"/>
      <c r="C2087" s="212"/>
      <c r="D2087" s="270"/>
      <c r="E2087" s="208"/>
      <c r="F2087" s="208"/>
      <c r="G2087" s="208"/>
      <c r="H2087" s="209"/>
      <c r="I2087" s="210"/>
      <c r="J2087" s="210"/>
      <c r="K2087" s="260"/>
      <c r="L2087" s="260"/>
      <c r="M2087" s="260"/>
      <c r="N2087" s="260"/>
      <c r="O2087" s="260"/>
      <c r="P2087" s="211"/>
      <c r="Q2087" s="261"/>
      <c r="R2087" s="208" t="str">
        <f ca="1">IF(ISERROR($V2087),"",OFFSET('Smelter Look-up'!$C$4,$V2087-4,0)&amp;"")</f>
        <v/>
      </c>
      <c r="S2087" s="215" t="str">
        <f t="shared" ca="1" si="294"/>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si="295"/>
        <v>0</v>
      </c>
      <c r="Y2087" s="263"/>
      <c r="Z2087" s="263"/>
      <c r="AB2087" s="265" t="str">
        <f t="shared" si="296"/>
        <v/>
      </c>
    </row>
    <row r="2088" spans="1:28" s="264" customFormat="1" ht="20.399999999999999">
      <c r="A2088" s="207"/>
      <c r="B2088" s="208"/>
      <c r="C2088" s="212"/>
      <c r="D2088" s="270"/>
      <c r="E2088" s="208"/>
      <c r="F2088" s="208"/>
      <c r="G2088" s="208"/>
      <c r="H2088" s="209"/>
      <c r="I2088" s="210"/>
      <c r="J2088" s="210"/>
      <c r="K2088" s="260"/>
      <c r="L2088" s="260"/>
      <c r="M2088" s="260"/>
      <c r="N2088" s="260"/>
      <c r="O2088" s="260"/>
      <c r="P2088" s="211"/>
      <c r="Q2088" s="261"/>
      <c r="R2088" s="208" t="str">
        <f ca="1">IF(ISERROR($V2088),"",OFFSET('Smelter Look-up'!$C$4,$V2088-4,0)&amp;"")</f>
        <v/>
      </c>
      <c r="S2088" s="215" t="str">
        <f t="shared" ca="1" si="294"/>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si="295"/>
        <v>0</v>
      </c>
      <c r="Y2088" s="263"/>
      <c r="Z2088" s="263"/>
      <c r="AB2088" s="265" t="str">
        <f t="shared" si="296"/>
        <v/>
      </c>
    </row>
    <row r="2089" spans="1:28" s="264" customFormat="1" ht="20.399999999999999">
      <c r="A2089" s="207"/>
      <c r="B2089" s="208"/>
      <c r="C2089" s="212"/>
      <c r="D2089" s="270"/>
      <c r="E2089" s="208"/>
      <c r="F2089" s="208"/>
      <c r="G2089" s="208"/>
      <c r="H2089" s="209"/>
      <c r="I2089" s="210"/>
      <c r="J2089" s="210"/>
      <c r="K2089" s="260"/>
      <c r="L2089" s="260"/>
      <c r="M2089" s="260"/>
      <c r="N2089" s="260"/>
      <c r="O2089" s="260"/>
      <c r="P2089" s="211"/>
      <c r="Q2089" s="261"/>
      <c r="R2089" s="208" t="str">
        <f ca="1">IF(ISERROR($V2089),"",OFFSET('Smelter Look-up'!$C$4,$V2089-4,0)&amp;"")</f>
        <v/>
      </c>
      <c r="S2089" s="215" t="str">
        <f t="shared" ca="1" si="294"/>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si="295"/>
        <v>0</v>
      </c>
      <c r="Y2089" s="263"/>
      <c r="Z2089" s="263"/>
      <c r="AB2089" s="265" t="str">
        <f t="shared" si="296"/>
        <v/>
      </c>
    </row>
    <row r="2090" spans="1:28" s="264" customFormat="1" ht="20.399999999999999">
      <c r="A2090" s="207"/>
      <c r="B2090" s="208"/>
      <c r="C2090" s="212"/>
      <c r="D2090" s="270"/>
      <c r="E2090" s="208"/>
      <c r="F2090" s="208"/>
      <c r="G2090" s="208"/>
      <c r="H2090" s="209"/>
      <c r="I2090" s="210"/>
      <c r="J2090" s="210"/>
      <c r="K2090" s="260"/>
      <c r="L2090" s="260"/>
      <c r="M2090" s="260"/>
      <c r="N2090" s="260"/>
      <c r="O2090" s="260"/>
      <c r="P2090" s="211"/>
      <c r="Q2090" s="261"/>
      <c r="R2090" s="208" t="str">
        <f ca="1">IF(ISERROR($V2090),"",OFFSET('Smelter Look-up'!$C$4,$V2090-4,0)&amp;"")</f>
        <v/>
      </c>
      <c r="S2090" s="215" t="str">
        <f t="shared" ca="1" si="294"/>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si="295"/>
        <v>0</v>
      </c>
      <c r="Y2090" s="263"/>
      <c r="Z2090" s="263"/>
      <c r="AB2090" s="265" t="str">
        <f t="shared" si="296"/>
        <v/>
      </c>
    </row>
    <row r="2091" spans="1:28" s="264" customFormat="1" ht="20.399999999999999">
      <c r="A2091" s="207"/>
      <c r="B2091" s="208"/>
      <c r="C2091" s="212"/>
      <c r="D2091" s="270"/>
      <c r="E2091" s="208"/>
      <c r="F2091" s="208"/>
      <c r="G2091" s="208"/>
      <c r="H2091" s="209"/>
      <c r="I2091" s="210"/>
      <c r="J2091" s="210"/>
      <c r="K2091" s="260"/>
      <c r="L2091" s="260"/>
      <c r="M2091" s="260"/>
      <c r="N2091" s="260"/>
      <c r="O2091" s="260"/>
      <c r="P2091" s="211"/>
      <c r="Q2091" s="261"/>
      <c r="R2091" s="208" t="str">
        <f ca="1">IF(ISERROR($V2091),"",OFFSET('Smelter Look-up'!$C$4,$V2091-4,0)&amp;"")</f>
        <v/>
      </c>
      <c r="S2091" s="215" t="str">
        <f t="shared" ca="1" si="294"/>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si="295"/>
        <v>0</v>
      </c>
      <c r="Y2091" s="263"/>
      <c r="Z2091" s="263"/>
      <c r="AB2091" s="265" t="str">
        <f t="shared" si="296"/>
        <v/>
      </c>
    </row>
    <row r="2092" spans="1:28" s="264" customFormat="1" ht="20.399999999999999">
      <c r="A2092" s="207"/>
      <c r="B2092" s="208"/>
      <c r="C2092" s="212"/>
      <c r="D2092" s="270"/>
      <c r="E2092" s="208"/>
      <c r="F2092" s="208"/>
      <c r="G2092" s="208"/>
      <c r="H2092" s="209"/>
      <c r="I2092" s="210"/>
      <c r="J2092" s="210"/>
      <c r="K2092" s="260"/>
      <c r="L2092" s="260"/>
      <c r="M2092" s="260"/>
      <c r="N2092" s="260"/>
      <c r="O2092" s="260"/>
      <c r="P2092" s="211"/>
      <c r="Q2092" s="261"/>
      <c r="R2092" s="208" t="str">
        <f ca="1">IF(ISERROR($V2092),"",OFFSET('Smelter Look-up'!$C$4,$V2092-4,0)&amp;"")</f>
        <v/>
      </c>
      <c r="S2092" s="215" t="str">
        <f t="shared" ca="1" si="294"/>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si="295"/>
        <v>0</v>
      </c>
      <c r="Y2092" s="263"/>
      <c r="Z2092" s="263"/>
      <c r="AB2092" s="265" t="str">
        <f t="shared" si="296"/>
        <v/>
      </c>
    </row>
    <row r="2093" spans="1:28" s="264" customFormat="1" ht="20.399999999999999">
      <c r="A2093" s="207"/>
      <c r="B2093" s="208"/>
      <c r="C2093" s="212"/>
      <c r="D2093" s="270"/>
      <c r="E2093" s="208"/>
      <c r="F2093" s="208"/>
      <c r="G2093" s="208"/>
      <c r="H2093" s="209"/>
      <c r="I2093" s="210"/>
      <c r="J2093" s="210"/>
      <c r="K2093" s="260"/>
      <c r="L2093" s="260"/>
      <c r="M2093" s="260"/>
      <c r="N2093" s="260"/>
      <c r="O2093" s="260"/>
      <c r="P2093" s="211"/>
      <c r="Q2093" s="261"/>
      <c r="R2093" s="208" t="str">
        <f ca="1">IF(ISERROR($V2093),"",OFFSET('Smelter Look-up'!$C$4,$V2093-4,0)&amp;"")</f>
        <v/>
      </c>
      <c r="S2093" s="215" t="str">
        <f t="shared" ca="1" si="294"/>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si="295"/>
        <v>0</v>
      </c>
      <c r="Y2093" s="263"/>
      <c r="Z2093" s="263"/>
      <c r="AB2093" s="265" t="str">
        <f t="shared" si="296"/>
        <v/>
      </c>
    </row>
    <row r="2094" spans="1:28" s="264" customFormat="1" ht="20.399999999999999">
      <c r="A2094" s="207"/>
      <c r="B2094" s="208"/>
      <c r="C2094" s="212"/>
      <c r="D2094" s="270"/>
      <c r="E2094" s="208"/>
      <c r="F2094" s="208"/>
      <c r="G2094" s="208"/>
      <c r="H2094" s="209"/>
      <c r="I2094" s="210"/>
      <c r="J2094" s="210"/>
      <c r="K2094" s="260"/>
      <c r="L2094" s="260"/>
      <c r="M2094" s="260"/>
      <c r="N2094" s="260"/>
      <c r="O2094" s="260"/>
      <c r="P2094" s="211"/>
      <c r="Q2094" s="261"/>
      <c r="R2094" s="208" t="str">
        <f ca="1">IF(ISERROR($V2094),"",OFFSET('Smelter Look-up'!$C$4,$V2094-4,0)&amp;"")</f>
        <v/>
      </c>
      <c r="S2094" s="215" t="str">
        <f t="shared" ca="1" si="294"/>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si="295"/>
        <v>0</v>
      </c>
      <c r="Y2094" s="263"/>
      <c r="Z2094" s="263"/>
      <c r="AB2094" s="265" t="str">
        <f t="shared" si="296"/>
        <v/>
      </c>
    </row>
    <row r="2095" spans="1:28" s="264" customFormat="1" ht="20.399999999999999">
      <c r="A2095" s="207"/>
      <c r="B2095" s="208"/>
      <c r="C2095" s="212"/>
      <c r="D2095" s="270"/>
      <c r="E2095" s="208"/>
      <c r="F2095" s="208"/>
      <c r="G2095" s="208"/>
      <c r="H2095" s="209"/>
      <c r="I2095" s="210"/>
      <c r="J2095" s="210"/>
      <c r="K2095" s="260"/>
      <c r="L2095" s="260"/>
      <c r="M2095" s="260"/>
      <c r="N2095" s="260"/>
      <c r="O2095" s="260"/>
      <c r="P2095" s="211"/>
      <c r="Q2095" s="261"/>
      <c r="R2095" s="208" t="str">
        <f ca="1">IF(ISERROR($V2095),"",OFFSET('Smelter Look-up'!$C$4,$V2095-4,0)&amp;"")</f>
        <v/>
      </c>
      <c r="S2095" s="215" t="str">
        <f t="shared" ca="1" si="294"/>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si="295"/>
        <v>0</v>
      </c>
      <c r="Y2095" s="263"/>
      <c r="Z2095" s="263"/>
      <c r="AB2095" s="265" t="str">
        <f t="shared" si="296"/>
        <v/>
      </c>
    </row>
    <row r="2096" spans="1:28" s="264" customFormat="1" ht="20.399999999999999">
      <c r="A2096" s="207"/>
      <c r="B2096" s="208"/>
      <c r="C2096" s="212"/>
      <c r="D2096" s="270"/>
      <c r="E2096" s="208"/>
      <c r="F2096" s="208"/>
      <c r="G2096" s="208"/>
      <c r="H2096" s="209"/>
      <c r="I2096" s="210"/>
      <c r="J2096" s="210"/>
      <c r="K2096" s="260"/>
      <c r="L2096" s="260"/>
      <c r="M2096" s="260"/>
      <c r="N2096" s="260"/>
      <c r="O2096" s="260"/>
      <c r="P2096" s="211"/>
      <c r="Q2096" s="261"/>
      <c r="R2096" s="208" t="str">
        <f ca="1">IF(ISERROR($V2096),"",OFFSET('Smelter Look-up'!$C$4,$V2096-4,0)&amp;"")</f>
        <v/>
      </c>
      <c r="S2096" s="215" t="str">
        <f t="shared" ca="1" si="294"/>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si="295"/>
        <v>0</v>
      </c>
      <c r="Y2096" s="263"/>
      <c r="Z2096" s="263"/>
      <c r="AB2096" s="265" t="str">
        <f t="shared" si="296"/>
        <v/>
      </c>
    </row>
    <row r="2097" spans="1:28" s="264" customFormat="1" ht="20.399999999999999">
      <c r="A2097" s="207"/>
      <c r="B2097" s="208"/>
      <c r="C2097" s="212"/>
      <c r="D2097" s="270"/>
      <c r="E2097" s="208"/>
      <c r="F2097" s="208"/>
      <c r="G2097" s="208"/>
      <c r="H2097" s="209"/>
      <c r="I2097" s="210"/>
      <c r="J2097" s="210"/>
      <c r="K2097" s="260"/>
      <c r="L2097" s="260"/>
      <c r="M2097" s="260"/>
      <c r="N2097" s="260"/>
      <c r="O2097" s="260"/>
      <c r="P2097" s="211"/>
      <c r="Q2097" s="261"/>
      <c r="R2097" s="208" t="str">
        <f ca="1">IF(ISERROR($V2097),"",OFFSET('Smelter Look-up'!$C$4,$V2097-4,0)&amp;"")</f>
        <v/>
      </c>
      <c r="S2097" s="215" t="str">
        <f t="shared" ca="1" si="294"/>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si="295"/>
        <v>0</v>
      </c>
      <c r="Y2097" s="263"/>
      <c r="Z2097" s="263"/>
      <c r="AB2097" s="265" t="str">
        <f t="shared" si="296"/>
        <v/>
      </c>
    </row>
    <row r="2098" spans="1:28" s="264" customFormat="1" ht="20.399999999999999">
      <c r="A2098" s="207"/>
      <c r="B2098" s="208"/>
      <c r="C2098" s="212"/>
      <c r="D2098" s="270"/>
      <c r="E2098" s="208"/>
      <c r="F2098" s="208"/>
      <c r="G2098" s="208"/>
      <c r="H2098" s="209"/>
      <c r="I2098" s="210"/>
      <c r="J2098" s="210"/>
      <c r="K2098" s="260"/>
      <c r="L2098" s="260"/>
      <c r="M2098" s="260"/>
      <c r="N2098" s="260"/>
      <c r="O2098" s="260"/>
      <c r="P2098" s="211"/>
      <c r="Q2098" s="261"/>
      <c r="R2098" s="208" t="str">
        <f ca="1">IF(ISERROR($V2098),"",OFFSET('Smelter Look-up'!$C$4,$V2098-4,0)&amp;"")</f>
        <v/>
      </c>
      <c r="S2098" s="215" t="str">
        <f t="shared" ca="1" si="294"/>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si="295"/>
        <v>0</v>
      </c>
      <c r="Y2098" s="263"/>
      <c r="Z2098" s="263"/>
      <c r="AB2098" s="265" t="str">
        <f t="shared" si="296"/>
        <v/>
      </c>
    </row>
    <row r="2099" spans="1:28" s="264" customFormat="1" ht="20.399999999999999">
      <c r="A2099" s="207"/>
      <c r="B2099" s="208"/>
      <c r="C2099" s="212"/>
      <c r="D2099" s="270"/>
      <c r="E2099" s="208"/>
      <c r="F2099" s="208"/>
      <c r="G2099" s="208"/>
      <c r="H2099" s="209"/>
      <c r="I2099" s="210"/>
      <c r="J2099" s="210"/>
      <c r="K2099" s="260"/>
      <c r="L2099" s="260"/>
      <c r="M2099" s="260"/>
      <c r="N2099" s="260"/>
      <c r="O2099" s="260"/>
      <c r="P2099" s="211"/>
      <c r="Q2099" s="261"/>
      <c r="R2099" s="208" t="str">
        <f ca="1">IF(ISERROR($V2099),"",OFFSET('Smelter Look-up'!$C$4,$V2099-4,0)&amp;"")</f>
        <v/>
      </c>
      <c r="S2099" s="215" t="str">
        <f t="shared" ca="1" si="294"/>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si="295"/>
        <v>0</v>
      </c>
      <c r="Y2099" s="263"/>
      <c r="Z2099" s="263"/>
      <c r="AB2099" s="265" t="str">
        <f t="shared" si="296"/>
        <v/>
      </c>
    </row>
    <row r="2100" spans="1:28" s="264" customFormat="1" ht="20.399999999999999">
      <c r="A2100" s="207"/>
      <c r="B2100" s="208"/>
      <c r="C2100" s="212"/>
      <c r="D2100" s="270"/>
      <c r="E2100" s="208"/>
      <c r="F2100" s="208"/>
      <c r="G2100" s="208"/>
      <c r="H2100" s="209"/>
      <c r="I2100" s="210"/>
      <c r="J2100" s="210"/>
      <c r="K2100" s="260"/>
      <c r="L2100" s="260"/>
      <c r="M2100" s="260"/>
      <c r="N2100" s="260"/>
      <c r="O2100" s="260"/>
      <c r="P2100" s="211"/>
      <c r="Q2100" s="261"/>
      <c r="R2100" s="208" t="str">
        <f ca="1">IF(ISERROR($V2100),"",OFFSET('Smelter Look-up'!$C$4,$V2100-4,0)&amp;"")</f>
        <v/>
      </c>
      <c r="S2100" s="215" t="str">
        <f t="shared" ca="1" si="294"/>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si="295"/>
        <v>0</v>
      </c>
      <c r="Y2100" s="263"/>
      <c r="Z2100" s="263"/>
      <c r="AB2100" s="265" t="str">
        <f t="shared" si="296"/>
        <v/>
      </c>
    </row>
    <row r="2101" spans="1:28" s="264" customFormat="1" ht="20.399999999999999">
      <c r="A2101" s="207"/>
      <c r="B2101" s="208"/>
      <c r="C2101" s="212"/>
      <c r="D2101" s="270"/>
      <c r="E2101" s="208"/>
      <c r="F2101" s="208"/>
      <c r="G2101" s="208"/>
      <c r="H2101" s="209"/>
      <c r="I2101" s="210"/>
      <c r="J2101" s="210"/>
      <c r="K2101" s="260"/>
      <c r="L2101" s="260"/>
      <c r="M2101" s="260"/>
      <c r="N2101" s="260"/>
      <c r="O2101" s="260"/>
      <c r="P2101" s="211"/>
      <c r="Q2101" s="261"/>
      <c r="R2101" s="208" t="str">
        <f ca="1">IF(ISERROR($V2101),"",OFFSET('Smelter Look-up'!$C$4,$V2101-4,0)&amp;"")</f>
        <v/>
      </c>
      <c r="S2101" s="215" t="str">
        <f t="shared" ca="1" si="294"/>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si="295"/>
        <v>0</v>
      </c>
      <c r="Y2101" s="263"/>
      <c r="Z2101" s="263"/>
      <c r="AB2101" s="265" t="str">
        <f t="shared" si="296"/>
        <v/>
      </c>
    </row>
    <row r="2102" spans="1:28" s="264" customFormat="1" ht="20.399999999999999">
      <c r="A2102" s="207"/>
      <c r="B2102" s="208"/>
      <c r="C2102" s="212"/>
      <c r="D2102" s="270"/>
      <c r="E2102" s="208"/>
      <c r="F2102" s="208"/>
      <c r="G2102" s="208"/>
      <c r="H2102" s="209"/>
      <c r="I2102" s="210"/>
      <c r="J2102" s="210"/>
      <c r="K2102" s="260"/>
      <c r="L2102" s="260"/>
      <c r="M2102" s="260"/>
      <c r="N2102" s="260"/>
      <c r="O2102" s="260"/>
      <c r="P2102" s="211"/>
      <c r="Q2102" s="261"/>
      <c r="R2102" s="208" t="str">
        <f ca="1">IF(ISERROR($V2102),"",OFFSET('Smelter Look-up'!$C$4,$V2102-4,0)&amp;"")</f>
        <v/>
      </c>
      <c r="S2102" s="215" t="str">
        <f t="shared" ca="1" si="294"/>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si="295"/>
        <v>0</v>
      </c>
      <c r="Y2102" s="263"/>
      <c r="Z2102" s="263"/>
      <c r="AB2102" s="265" t="str">
        <f t="shared" si="296"/>
        <v/>
      </c>
    </row>
    <row r="2103" spans="1:28" s="264" customFormat="1" ht="20.399999999999999">
      <c r="A2103" s="207"/>
      <c r="B2103" s="208"/>
      <c r="C2103" s="212"/>
      <c r="D2103" s="270"/>
      <c r="E2103" s="208"/>
      <c r="F2103" s="208"/>
      <c r="G2103" s="208"/>
      <c r="H2103" s="209"/>
      <c r="I2103" s="210"/>
      <c r="J2103" s="210"/>
      <c r="K2103" s="260"/>
      <c r="L2103" s="260"/>
      <c r="M2103" s="260"/>
      <c r="N2103" s="260"/>
      <c r="O2103" s="260"/>
      <c r="P2103" s="211"/>
      <c r="Q2103" s="261"/>
      <c r="R2103" s="208" t="str">
        <f ca="1">IF(ISERROR($V2103),"",OFFSET('Smelter Look-up'!$C$4,$V2103-4,0)&amp;"")</f>
        <v/>
      </c>
      <c r="S2103" s="215" t="str">
        <f t="shared" ca="1" si="294"/>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si="295"/>
        <v>0</v>
      </c>
      <c r="Y2103" s="263"/>
      <c r="Z2103" s="263"/>
      <c r="AB2103" s="265" t="str">
        <f t="shared" si="296"/>
        <v/>
      </c>
    </row>
    <row r="2104" spans="1:28" s="264" customFormat="1" ht="20.399999999999999">
      <c r="A2104" s="207"/>
      <c r="B2104" s="208"/>
      <c r="C2104" s="212"/>
      <c r="D2104" s="270"/>
      <c r="E2104" s="208"/>
      <c r="F2104" s="208"/>
      <c r="G2104" s="208"/>
      <c r="H2104" s="209"/>
      <c r="I2104" s="210"/>
      <c r="J2104" s="210"/>
      <c r="K2104" s="260"/>
      <c r="L2104" s="260"/>
      <c r="M2104" s="260"/>
      <c r="N2104" s="260"/>
      <c r="O2104" s="260"/>
      <c r="P2104" s="211"/>
      <c r="Q2104" s="261"/>
      <c r="R2104" s="208" t="str">
        <f ca="1">IF(ISERROR($V2104),"",OFFSET('Smelter Look-up'!$C$4,$V2104-4,0)&amp;"")</f>
        <v/>
      </c>
      <c r="S2104" s="215" t="str">
        <f t="shared" ca="1" si="294"/>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si="295"/>
        <v>0</v>
      </c>
      <c r="Y2104" s="263"/>
      <c r="Z2104" s="263"/>
      <c r="AB2104" s="265" t="str">
        <f t="shared" si="296"/>
        <v/>
      </c>
    </row>
    <row r="2105" spans="1:28" s="264" customFormat="1" ht="20.399999999999999">
      <c r="A2105" s="207"/>
      <c r="B2105" s="208"/>
      <c r="C2105" s="212"/>
      <c r="D2105" s="270"/>
      <c r="E2105" s="208"/>
      <c r="F2105" s="208"/>
      <c r="G2105" s="208"/>
      <c r="H2105" s="209"/>
      <c r="I2105" s="210"/>
      <c r="J2105" s="210"/>
      <c r="K2105" s="260"/>
      <c r="L2105" s="260"/>
      <c r="M2105" s="260"/>
      <c r="N2105" s="260"/>
      <c r="O2105" s="260"/>
      <c r="P2105" s="211"/>
      <c r="Q2105" s="261"/>
      <c r="R2105" s="208" t="str">
        <f ca="1">IF(ISERROR($V2105),"",OFFSET('Smelter Look-up'!$C$4,$V2105-4,0)&amp;"")</f>
        <v/>
      </c>
      <c r="S2105" s="215" t="str">
        <f t="shared" ca="1" si="294"/>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si="295"/>
        <v>0</v>
      </c>
      <c r="Y2105" s="263"/>
      <c r="Z2105" s="263"/>
      <c r="AB2105" s="265" t="str">
        <f t="shared" si="296"/>
        <v/>
      </c>
    </row>
    <row r="2106" spans="1:28" s="264" customFormat="1" ht="20.399999999999999">
      <c r="A2106" s="207"/>
      <c r="B2106" s="208"/>
      <c r="C2106" s="212"/>
      <c r="D2106" s="270"/>
      <c r="E2106" s="208"/>
      <c r="F2106" s="208"/>
      <c r="G2106" s="208"/>
      <c r="H2106" s="209"/>
      <c r="I2106" s="210"/>
      <c r="J2106" s="210"/>
      <c r="K2106" s="260"/>
      <c r="L2106" s="260"/>
      <c r="M2106" s="260"/>
      <c r="N2106" s="260"/>
      <c r="O2106" s="260"/>
      <c r="P2106" s="211"/>
      <c r="Q2106" s="261"/>
      <c r="R2106" s="208" t="str">
        <f ca="1">IF(ISERROR($V2106),"",OFFSET('Smelter Look-up'!$C$4,$V2106-4,0)&amp;"")</f>
        <v/>
      </c>
      <c r="S2106" s="215" t="str">
        <f t="shared" ca="1" si="294"/>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si="295"/>
        <v>0</v>
      </c>
      <c r="Y2106" s="263"/>
      <c r="Z2106" s="263"/>
      <c r="AB2106" s="265" t="str">
        <f t="shared" si="296"/>
        <v/>
      </c>
    </row>
    <row r="2107" spans="1:28" s="264" customFormat="1" ht="20.399999999999999">
      <c r="A2107" s="207"/>
      <c r="B2107" s="208"/>
      <c r="C2107" s="212"/>
      <c r="D2107" s="270"/>
      <c r="E2107" s="208"/>
      <c r="F2107" s="208"/>
      <c r="G2107" s="208"/>
      <c r="H2107" s="209"/>
      <c r="I2107" s="210"/>
      <c r="J2107" s="210"/>
      <c r="K2107" s="260"/>
      <c r="L2107" s="260"/>
      <c r="M2107" s="260"/>
      <c r="N2107" s="260"/>
      <c r="O2107" s="260"/>
      <c r="P2107" s="211"/>
      <c r="Q2107" s="261"/>
      <c r="R2107" s="208" t="str">
        <f ca="1">IF(ISERROR($V2107),"",OFFSET('Smelter Look-up'!$C$4,$V2107-4,0)&amp;"")</f>
        <v/>
      </c>
      <c r="S2107" s="215" t="str">
        <f t="shared" ref="S2107" ca="1" si="297">IF(B2107="","",IF(ISERROR(MATCH($E2107,CL,0)),"Unknown",INDIRECT("'C'!$A$"&amp;MATCH($E2107,CL,0)+1)))</f>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t="shared" ref="X2107" si="298">IF(AND(C2107="Smelter not listed",OR(LEN(D2107)=0,LEN(E2107)=0)),1,0)</f>
        <v>0</v>
      </c>
      <c r="Y2107" s="263"/>
      <c r="Z2107" s="263"/>
      <c r="AB2107" s="265" t="str">
        <f t="shared" ref="AB2107" si="299">B2107&amp;C2107</f>
        <v/>
      </c>
    </row>
    <row r="2108" spans="1:28" s="264" customFormat="1" ht="20.399999999999999">
      <c r="A2108" s="207"/>
      <c r="B2108" s="208"/>
      <c r="C2108" s="212"/>
      <c r="D2108" s="270"/>
      <c r="E2108" s="208"/>
      <c r="F2108" s="208"/>
      <c r="G2108" s="208"/>
      <c r="H2108" s="209"/>
      <c r="I2108" s="210"/>
      <c r="J2108" s="210"/>
      <c r="K2108" s="260"/>
      <c r="L2108" s="260"/>
      <c r="M2108" s="260"/>
      <c r="N2108" s="260"/>
      <c r="O2108" s="260"/>
      <c r="P2108" s="211"/>
      <c r="Q2108" s="261"/>
      <c r="R2108" s="208" t="str">
        <f ca="1">IF(ISERROR($V2108),"",OFFSET('Smelter Look-up'!$C$4,$V2108-4,0)&amp;"")</f>
        <v/>
      </c>
      <c r="S2108" s="215" t="str">
        <f t="shared" ref="S2108:S2139" ca="1" si="300">IF(B2108="","",IF(ISERROR(MATCH($E2108,CL,0)),"Unknown",INDIRECT("'C'!$A$"&amp;MATCH($E2108,CL,0)+1)))</f>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ref="X2108:X2139" si="301">IF(AND(C2108="Smelter not listed",OR(LEN(D2108)=0,LEN(E2108)=0)),1,0)</f>
        <v>0</v>
      </c>
      <c r="Y2108" s="263"/>
      <c r="Z2108" s="263"/>
      <c r="AB2108" s="265" t="str">
        <f t="shared" ref="AB2108:AB2139" si="302">B2108&amp;C2108</f>
        <v/>
      </c>
    </row>
    <row r="2109" spans="1:28" s="264" customFormat="1" ht="20.399999999999999">
      <c r="A2109" s="207"/>
      <c r="B2109" s="208"/>
      <c r="C2109" s="212"/>
      <c r="D2109" s="270"/>
      <c r="E2109" s="208"/>
      <c r="F2109" s="208"/>
      <c r="G2109" s="208"/>
      <c r="H2109" s="209"/>
      <c r="I2109" s="210"/>
      <c r="J2109" s="210"/>
      <c r="K2109" s="260"/>
      <c r="L2109" s="260"/>
      <c r="M2109" s="260"/>
      <c r="N2109" s="260"/>
      <c r="O2109" s="260"/>
      <c r="P2109" s="211"/>
      <c r="Q2109" s="261"/>
      <c r="R2109" s="208" t="str">
        <f ca="1">IF(ISERROR($V2109),"",OFFSET('Smelter Look-up'!$C$4,$V2109-4,0)&amp;"")</f>
        <v/>
      </c>
      <c r="S2109" s="215" t="str">
        <f t="shared" ca="1" si="300"/>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si="301"/>
        <v>0</v>
      </c>
      <c r="Y2109" s="263"/>
      <c r="Z2109" s="263"/>
      <c r="AB2109" s="265" t="str">
        <f t="shared" si="302"/>
        <v/>
      </c>
    </row>
    <row r="2110" spans="1:28" s="264" customFormat="1" ht="20.399999999999999">
      <c r="A2110" s="207"/>
      <c r="B2110" s="208"/>
      <c r="C2110" s="212"/>
      <c r="D2110" s="270"/>
      <c r="E2110" s="208"/>
      <c r="F2110" s="208"/>
      <c r="G2110" s="208"/>
      <c r="H2110" s="209"/>
      <c r="I2110" s="210"/>
      <c r="J2110" s="210"/>
      <c r="K2110" s="260"/>
      <c r="L2110" s="260"/>
      <c r="M2110" s="260"/>
      <c r="N2110" s="260"/>
      <c r="O2110" s="260"/>
      <c r="P2110" s="211"/>
      <c r="Q2110" s="261"/>
      <c r="R2110" s="208" t="str">
        <f ca="1">IF(ISERROR($V2110),"",OFFSET('Smelter Look-up'!$C$4,$V2110-4,0)&amp;"")</f>
        <v/>
      </c>
      <c r="S2110" s="215" t="str">
        <f t="shared" ca="1" si="300"/>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si="301"/>
        <v>0</v>
      </c>
      <c r="Y2110" s="263"/>
      <c r="Z2110" s="263"/>
      <c r="AB2110" s="265" t="str">
        <f t="shared" si="302"/>
        <v/>
      </c>
    </row>
    <row r="2111" spans="1:28" s="264" customFormat="1" ht="20.399999999999999">
      <c r="A2111" s="207"/>
      <c r="B2111" s="208"/>
      <c r="C2111" s="212"/>
      <c r="D2111" s="270"/>
      <c r="E2111" s="208"/>
      <c r="F2111" s="208"/>
      <c r="G2111" s="208"/>
      <c r="H2111" s="209"/>
      <c r="I2111" s="210"/>
      <c r="J2111" s="210"/>
      <c r="K2111" s="260"/>
      <c r="L2111" s="260"/>
      <c r="M2111" s="260"/>
      <c r="N2111" s="260"/>
      <c r="O2111" s="260"/>
      <c r="P2111" s="211"/>
      <c r="Q2111" s="261"/>
      <c r="R2111" s="208" t="str">
        <f ca="1">IF(ISERROR($V2111),"",OFFSET('Smelter Look-up'!$C$4,$V2111-4,0)&amp;"")</f>
        <v/>
      </c>
      <c r="S2111" s="215" t="str">
        <f t="shared" ca="1" si="300"/>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si="301"/>
        <v>0</v>
      </c>
      <c r="Y2111" s="263"/>
      <c r="Z2111" s="263"/>
      <c r="AB2111" s="265" t="str">
        <f t="shared" si="302"/>
        <v/>
      </c>
    </row>
    <row r="2112" spans="1:28" s="264" customFormat="1" ht="20.399999999999999">
      <c r="A2112" s="207"/>
      <c r="B2112" s="208"/>
      <c r="C2112" s="212"/>
      <c r="D2112" s="270"/>
      <c r="E2112" s="208"/>
      <c r="F2112" s="208"/>
      <c r="G2112" s="208"/>
      <c r="H2112" s="209"/>
      <c r="I2112" s="210"/>
      <c r="J2112" s="210"/>
      <c r="K2112" s="260"/>
      <c r="L2112" s="260"/>
      <c r="M2112" s="260"/>
      <c r="N2112" s="260"/>
      <c r="O2112" s="260"/>
      <c r="P2112" s="211"/>
      <c r="Q2112" s="261"/>
      <c r="R2112" s="208" t="str">
        <f ca="1">IF(ISERROR($V2112),"",OFFSET('Smelter Look-up'!$C$4,$V2112-4,0)&amp;"")</f>
        <v/>
      </c>
      <c r="S2112" s="215" t="str">
        <f t="shared" ca="1" si="300"/>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si="301"/>
        <v>0</v>
      </c>
      <c r="Y2112" s="263"/>
      <c r="Z2112" s="263"/>
      <c r="AB2112" s="265" t="str">
        <f t="shared" si="302"/>
        <v/>
      </c>
    </row>
    <row r="2113" spans="1:28" s="264" customFormat="1" ht="20.399999999999999">
      <c r="A2113" s="207"/>
      <c r="B2113" s="208"/>
      <c r="C2113" s="212"/>
      <c r="D2113" s="270"/>
      <c r="E2113" s="208"/>
      <c r="F2113" s="208"/>
      <c r="G2113" s="208"/>
      <c r="H2113" s="209"/>
      <c r="I2113" s="210"/>
      <c r="J2113" s="210"/>
      <c r="K2113" s="260"/>
      <c r="L2113" s="260"/>
      <c r="M2113" s="260"/>
      <c r="N2113" s="260"/>
      <c r="O2113" s="260"/>
      <c r="P2113" s="211"/>
      <c r="Q2113" s="261"/>
      <c r="R2113" s="208" t="str">
        <f ca="1">IF(ISERROR($V2113),"",OFFSET('Smelter Look-up'!$C$4,$V2113-4,0)&amp;"")</f>
        <v/>
      </c>
      <c r="S2113" s="215" t="str">
        <f t="shared" ca="1" si="300"/>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si="301"/>
        <v>0</v>
      </c>
      <c r="Y2113" s="263"/>
      <c r="Z2113" s="263"/>
      <c r="AB2113" s="265" t="str">
        <f t="shared" si="302"/>
        <v/>
      </c>
    </row>
    <row r="2114" spans="1:28" s="264" customFormat="1" ht="20.399999999999999">
      <c r="A2114" s="207"/>
      <c r="B2114" s="208"/>
      <c r="C2114" s="212"/>
      <c r="D2114" s="270"/>
      <c r="E2114" s="208"/>
      <c r="F2114" s="208"/>
      <c r="G2114" s="208"/>
      <c r="H2114" s="209"/>
      <c r="I2114" s="210"/>
      <c r="J2114" s="210"/>
      <c r="K2114" s="260"/>
      <c r="L2114" s="260"/>
      <c r="M2114" s="260"/>
      <c r="N2114" s="260"/>
      <c r="O2114" s="260"/>
      <c r="P2114" s="211"/>
      <c r="Q2114" s="261"/>
      <c r="R2114" s="208" t="str">
        <f ca="1">IF(ISERROR($V2114),"",OFFSET('Smelter Look-up'!$C$4,$V2114-4,0)&amp;"")</f>
        <v/>
      </c>
      <c r="S2114" s="215" t="str">
        <f t="shared" ca="1" si="300"/>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si="301"/>
        <v>0</v>
      </c>
      <c r="Y2114" s="263"/>
      <c r="Z2114" s="263"/>
      <c r="AB2114" s="265" t="str">
        <f t="shared" si="302"/>
        <v/>
      </c>
    </row>
    <row r="2115" spans="1:28" s="264" customFormat="1" ht="20.399999999999999">
      <c r="A2115" s="207"/>
      <c r="B2115" s="208"/>
      <c r="C2115" s="212"/>
      <c r="D2115" s="270"/>
      <c r="E2115" s="208"/>
      <c r="F2115" s="208"/>
      <c r="G2115" s="208"/>
      <c r="H2115" s="209"/>
      <c r="I2115" s="210"/>
      <c r="J2115" s="210"/>
      <c r="K2115" s="260"/>
      <c r="L2115" s="260"/>
      <c r="M2115" s="260"/>
      <c r="N2115" s="260"/>
      <c r="O2115" s="260"/>
      <c r="P2115" s="211"/>
      <c r="Q2115" s="261"/>
      <c r="R2115" s="208" t="str">
        <f ca="1">IF(ISERROR($V2115),"",OFFSET('Smelter Look-up'!$C$4,$V2115-4,0)&amp;"")</f>
        <v/>
      </c>
      <c r="S2115" s="215" t="str">
        <f t="shared" ca="1" si="300"/>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si="301"/>
        <v>0</v>
      </c>
      <c r="Y2115" s="263"/>
      <c r="Z2115" s="263"/>
      <c r="AB2115" s="265" t="str">
        <f t="shared" si="302"/>
        <v/>
      </c>
    </row>
    <row r="2116" spans="1:28" s="264" customFormat="1" ht="20.399999999999999">
      <c r="A2116" s="207"/>
      <c r="B2116" s="208"/>
      <c r="C2116" s="212"/>
      <c r="D2116" s="270"/>
      <c r="E2116" s="208"/>
      <c r="F2116" s="208"/>
      <c r="G2116" s="208"/>
      <c r="H2116" s="209"/>
      <c r="I2116" s="210"/>
      <c r="J2116" s="210"/>
      <c r="K2116" s="260"/>
      <c r="L2116" s="260"/>
      <c r="M2116" s="260"/>
      <c r="N2116" s="260"/>
      <c r="O2116" s="260"/>
      <c r="P2116" s="211"/>
      <c r="Q2116" s="261"/>
      <c r="R2116" s="208" t="str">
        <f ca="1">IF(ISERROR($V2116),"",OFFSET('Smelter Look-up'!$C$4,$V2116-4,0)&amp;"")</f>
        <v/>
      </c>
      <c r="S2116" s="215" t="str">
        <f t="shared" ca="1" si="300"/>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si="301"/>
        <v>0</v>
      </c>
      <c r="Y2116" s="263"/>
      <c r="Z2116" s="263"/>
      <c r="AB2116" s="265" t="str">
        <f t="shared" si="302"/>
        <v/>
      </c>
    </row>
    <row r="2117" spans="1:28" s="264" customFormat="1" ht="20.399999999999999">
      <c r="A2117" s="207"/>
      <c r="B2117" s="208"/>
      <c r="C2117" s="212"/>
      <c r="D2117" s="270"/>
      <c r="E2117" s="208"/>
      <c r="F2117" s="208"/>
      <c r="G2117" s="208"/>
      <c r="H2117" s="209"/>
      <c r="I2117" s="210"/>
      <c r="J2117" s="210"/>
      <c r="K2117" s="260"/>
      <c r="L2117" s="260"/>
      <c r="M2117" s="260"/>
      <c r="N2117" s="260"/>
      <c r="O2117" s="260"/>
      <c r="P2117" s="211"/>
      <c r="Q2117" s="261"/>
      <c r="R2117" s="208" t="str">
        <f ca="1">IF(ISERROR($V2117),"",OFFSET('Smelter Look-up'!$C$4,$V2117-4,0)&amp;"")</f>
        <v/>
      </c>
      <c r="S2117" s="215" t="str">
        <f t="shared" ca="1" si="300"/>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si="301"/>
        <v>0</v>
      </c>
      <c r="Y2117" s="263"/>
      <c r="Z2117" s="263"/>
      <c r="AB2117" s="265" t="str">
        <f t="shared" si="302"/>
        <v/>
      </c>
    </row>
    <row r="2118" spans="1:28" s="264" customFormat="1" ht="20.399999999999999">
      <c r="A2118" s="207"/>
      <c r="B2118" s="208"/>
      <c r="C2118" s="212"/>
      <c r="D2118" s="270"/>
      <c r="E2118" s="208"/>
      <c r="F2118" s="208"/>
      <c r="G2118" s="208"/>
      <c r="H2118" s="209"/>
      <c r="I2118" s="210"/>
      <c r="J2118" s="210"/>
      <c r="K2118" s="260"/>
      <c r="L2118" s="260"/>
      <c r="M2118" s="260"/>
      <c r="N2118" s="260"/>
      <c r="O2118" s="260"/>
      <c r="P2118" s="211"/>
      <c r="Q2118" s="261"/>
      <c r="R2118" s="208" t="str">
        <f ca="1">IF(ISERROR($V2118),"",OFFSET('Smelter Look-up'!$C$4,$V2118-4,0)&amp;"")</f>
        <v/>
      </c>
      <c r="S2118" s="215" t="str">
        <f t="shared" ca="1" si="300"/>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si="301"/>
        <v>0</v>
      </c>
      <c r="Y2118" s="263"/>
      <c r="Z2118" s="263"/>
      <c r="AB2118" s="265" t="str">
        <f t="shared" si="302"/>
        <v/>
      </c>
    </row>
    <row r="2119" spans="1:28" s="264" customFormat="1" ht="20.399999999999999">
      <c r="A2119" s="207"/>
      <c r="B2119" s="208"/>
      <c r="C2119" s="212"/>
      <c r="D2119" s="270"/>
      <c r="E2119" s="208"/>
      <c r="F2119" s="208"/>
      <c r="G2119" s="208"/>
      <c r="H2119" s="209"/>
      <c r="I2119" s="210"/>
      <c r="J2119" s="210"/>
      <c r="K2119" s="260"/>
      <c r="L2119" s="260"/>
      <c r="M2119" s="260"/>
      <c r="N2119" s="260"/>
      <c r="O2119" s="260"/>
      <c r="P2119" s="211"/>
      <c r="Q2119" s="261"/>
      <c r="R2119" s="208" t="str">
        <f ca="1">IF(ISERROR($V2119),"",OFFSET('Smelter Look-up'!$C$4,$V2119-4,0)&amp;"")</f>
        <v/>
      </c>
      <c r="S2119" s="215" t="str">
        <f t="shared" ca="1" si="300"/>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si="301"/>
        <v>0</v>
      </c>
      <c r="Y2119" s="263"/>
      <c r="Z2119" s="263"/>
      <c r="AB2119" s="265" t="str">
        <f t="shared" si="302"/>
        <v/>
      </c>
    </row>
    <row r="2120" spans="1:28" s="264" customFormat="1" ht="20.399999999999999">
      <c r="A2120" s="207"/>
      <c r="B2120" s="208"/>
      <c r="C2120" s="212"/>
      <c r="D2120" s="270"/>
      <c r="E2120" s="208"/>
      <c r="F2120" s="208"/>
      <c r="G2120" s="208"/>
      <c r="H2120" s="209"/>
      <c r="I2120" s="210"/>
      <c r="J2120" s="210"/>
      <c r="K2120" s="260"/>
      <c r="L2120" s="260"/>
      <c r="M2120" s="260"/>
      <c r="N2120" s="260"/>
      <c r="O2120" s="260"/>
      <c r="P2120" s="211"/>
      <c r="Q2120" s="261"/>
      <c r="R2120" s="208" t="str">
        <f ca="1">IF(ISERROR($V2120),"",OFFSET('Smelter Look-up'!$C$4,$V2120-4,0)&amp;"")</f>
        <v/>
      </c>
      <c r="S2120" s="215" t="str">
        <f t="shared" ca="1" si="300"/>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si="301"/>
        <v>0</v>
      </c>
      <c r="Y2120" s="263"/>
      <c r="Z2120" s="263"/>
      <c r="AB2120" s="265" t="str">
        <f t="shared" si="302"/>
        <v/>
      </c>
    </row>
    <row r="2121" spans="1:28" s="264" customFormat="1" ht="20.399999999999999">
      <c r="A2121" s="207"/>
      <c r="B2121" s="208"/>
      <c r="C2121" s="212"/>
      <c r="D2121" s="270"/>
      <c r="E2121" s="208"/>
      <c r="F2121" s="208"/>
      <c r="G2121" s="208"/>
      <c r="H2121" s="209"/>
      <c r="I2121" s="210"/>
      <c r="J2121" s="210"/>
      <c r="K2121" s="260"/>
      <c r="L2121" s="260"/>
      <c r="M2121" s="260"/>
      <c r="N2121" s="260"/>
      <c r="O2121" s="260"/>
      <c r="P2121" s="211"/>
      <c r="Q2121" s="261"/>
      <c r="R2121" s="208" t="str">
        <f ca="1">IF(ISERROR($V2121),"",OFFSET('Smelter Look-up'!$C$4,$V2121-4,0)&amp;"")</f>
        <v/>
      </c>
      <c r="S2121" s="215" t="str">
        <f t="shared" ca="1" si="300"/>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si="301"/>
        <v>0</v>
      </c>
      <c r="Y2121" s="263"/>
      <c r="Z2121" s="263"/>
      <c r="AB2121" s="265" t="str">
        <f t="shared" si="302"/>
        <v/>
      </c>
    </row>
    <row r="2122" spans="1:28" s="264" customFormat="1" ht="20.399999999999999">
      <c r="A2122" s="207"/>
      <c r="B2122" s="208"/>
      <c r="C2122" s="212"/>
      <c r="D2122" s="270"/>
      <c r="E2122" s="208"/>
      <c r="F2122" s="208"/>
      <c r="G2122" s="208"/>
      <c r="H2122" s="209"/>
      <c r="I2122" s="210"/>
      <c r="J2122" s="210"/>
      <c r="K2122" s="260"/>
      <c r="L2122" s="260"/>
      <c r="M2122" s="260"/>
      <c r="N2122" s="260"/>
      <c r="O2122" s="260"/>
      <c r="P2122" s="211"/>
      <c r="Q2122" s="261"/>
      <c r="R2122" s="208" t="str">
        <f ca="1">IF(ISERROR($V2122),"",OFFSET('Smelter Look-up'!$C$4,$V2122-4,0)&amp;"")</f>
        <v/>
      </c>
      <c r="S2122" s="215" t="str">
        <f t="shared" ca="1" si="300"/>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si="301"/>
        <v>0</v>
      </c>
      <c r="Y2122" s="263"/>
      <c r="Z2122" s="263"/>
      <c r="AB2122" s="265" t="str">
        <f t="shared" si="302"/>
        <v/>
      </c>
    </row>
    <row r="2123" spans="1:28" s="264" customFormat="1" ht="20.399999999999999">
      <c r="A2123" s="207"/>
      <c r="B2123" s="208"/>
      <c r="C2123" s="212"/>
      <c r="D2123" s="270"/>
      <c r="E2123" s="208"/>
      <c r="F2123" s="208"/>
      <c r="G2123" s="208"/>
      <c r="H2123" s="209"/>
      <c r="I2123" s="210"/>
      <c r="J2123" s="210"/>
      <c r="K2123" s="260"/>
      <c r="L2123" s="260"/>
      <c r="M2123" s="260"/>
      <c r="N2123" s="260"/>
      <c r="O2123" s="260"/>
      <c r="P2123" s="211"/>
      <c r="Q2123" s="261"/>
      <c r="R2123" s="208" t="str">
        <f ca="1">IF(ISERROR($V2123),"",OFFSET('Smelter Look-up'!$C$4,$V2123-4,0)&amp;"")</f>
        <v/>
      </c>
      <c r="S2123" s="215" t="str">
        <f t="shared" ca="1" si="300"/>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si="301"/>
        <v>0</v>
      </c>
      <c r="Y2123" s="263"/>
      <c r="Z2123" s="263"/>
      <c r="AB2123" s="265" t="str">
        <f t="shared" si="302"/>
        <v/>
      </c>
    </row>
    <row r="2124" spans="1:28" s="264" customFormat="1" ht="20.399999999999999">
      <c r="A2124" s="207"/>
      <c r="B2124" s="208"/>
      <c r="C2124" s="212"/>
      <c r="D2124" s="270"/>
      <c r="E2124" s="208"/>
      <c r="F2124" s="208"/>
      <c r="G2124" s="208"/>
      <c r="H2124" s="209"/>
      <c r="I2124" s="210"/>
      <c r="J2124" s="210"/>
      <c r="K2124" s="260"/>
      <c r="L2124" s="260"/>
      <c r="M2124" s="260"/>
      <c r="N2124" s="260"/>
      <c r="O2124" s="260"/>
      <c r="P2124" s="211"/>
      <c r="Q2124" s="261"/>
      <c r="R2124" s="208" t="str">
        <f ca="1">IF(ISERROR($V2124),"",OFFSET('Smelter Look-up'!$C$4,$V2124-4,0)&amp;"")</f>
        <v/>
      </c>
      <c r="S2124" s="215" t="str">
        <f t="shared" ca="1" si="300"/>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si="301"/>
        <v>0</v>
      </c>
      <c r="Y2124" s="263"/>
      <c r="Z2124" s="263"/>
      <c r="AB2124" s="265" t="str">
        <f t="shared" si="302"/>
        <v/>
      </c>
    </row>
    <row r="2125" spans="1:28" s="264" customFormat="1" ht="20.399999999999999">
      <c r="A2125" s="207"/>
      <c r="B2125" s="208"/>
      <c r="C2125" s="212"/>
      <c r="D2125" s="270"/>
      <c r="E2125" s="208"/>
      <c r="F2125" s="208"/>
      <c r="G2125" s="208"/>
      <c r="H2125" s="209"/>
      <c r="I2125" s="210"/>
      <c r="J2125" s="210"/>
      <c r="K2125" s="260"/>
      <c r="L2125" s="260"/>
      <c r="M2125" s="260"/>
      <c r="N2125" s="260"/>
      <c r="O2125" s="260"/>
      <c r="P2125" s="211"/>
      <c r="Q2125" s="261"/>
      <c r="R2125" s="208" t="str">
        <f ca="1">IF(ISERROR($V2125),"",OFFSET('Smelter Look-up'!$C$4,$V2125-4,0)&amp;"")</f>
        <v/>
      </c>
      <c r="S2125" s="215" t="str">
        <f t="shared" ca="1" si="300"/>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si="301"/>
        <v>0</v>
      </c>
      <c r="Y2125" s="263"/>
      <c r="Z2125" s="263"/>
      <c r="AB2125" s="265" t="str">
        <f t="shared" si="302"/>
        <v/>
      </c>
    </row>
    <row r="2126" spans="1:28" s="264" customFormat="1" ht="20.399999999999999">
      <c r="A2126" s="207"/>
      <c r="B2126" s="208"/>
      <c r="C2126" s="212"/>
      <c r="D2126" s="270"/>
      <c r="E2126" s="208"/>
      <c r="F2126" s="208"/>
      <c r="G2126" s="208"/>
      <c r="H2126" s="209"/>
      <c r="I2126" s="210"/>
      <c r="J2126" s="210"/>
      <c r="K2126" s="260"/>
      <c r="L2126" s="260"/>
      <c r="M2126" s="260"/>
      <c r="N2126" s="260"/>
      <c r="O2126" s="260"/>
      <c r="P2126" s="211"/>
      <c r="Q2126" s="261"/>
      <c r="R2126" s="208" t="str">
        <f ca="1">IF(ISERROR($V2126),"",OFFSET('Smelter Look-up'!$C$4,$V2126-4,0)&amp;"")</f>
        <v/>
      </c>
      <c r="S2126" s="215" t="str">
        <f t="shared" ca="1" si="300"/>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si="301"/>
        <v>0</v>
      </c>
      <c r="Y2126" s="263"/>
      <c r="Z2126" s="263"/>
      <c r="AB2126" s="265" t="str">
        <f t="shared" si="302"/>
        <v/>
      </c>
    </row>
    <row r="2127" spans="1:28" s="264" customFormat="1" ht="20.399999999999999">
      <c r="A2127" s="207"/>
      <c r="B2127" s="208"/>
      <c r="C2127" s="212"/>
      <c r="D2127" s="270"/>
      <c r="E2127" s="208"/>
      <c r="F2127" s="208"/>
      <c r="G2127" s="208"/>
      <c r="H2127" s="209"/>
      <c r="I2127" s="210"/>
      <c r="J2127" s="210"/>
      <c r="K2127" s="260"/>
      <c r="L2127" s="260"/>
      <c r="M2127" s="260"/>
      <c r="N2127" s="260"/>
      <c r="O2127" s="260"/>
      <c r="P2127" s="211"/>
      <c r="Q2127" s="261"/>
      <c r="R2127" s="208" t="str">
        <f ca="1">IF(ISERROR($V2127),"",OFFSET('Smelter Look-up'!$C$4,$V2127-4,0)&amp;"")</f>
        <v/>
      </c>
      <c r="S2127" s="215" t="str">
        <f t="shared" ca="1" si="300"/>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si="301"/>
        <v>0</v>
      </c>
      <c r="Y2127" s="263"/>
      <c r="Z2127" s="263"/>
      <c r="AB2127" s="265" t="str">
        <f t="shared" si="302"/>
        <v/>
      </c>
    </row>
    <row r="2128" spans="1:28" s="264" customFormat="1" ht="20.399999999999999">
      <c r="A2128" s="207"/>
      <c r="B2128" s="208"/>
      <c r="C2128" s="212"/>
      <c r="D2128" s="270"/>
      <c r="E2128" s="208"/>
      <c r="F2128" s="208"/>
      <c r="G2128" s="208"/>
      <c r="H2128" s="209"/>
      <c r="I2128" s="210"/>
      <c r="J2128" s="210"/>
      <c r="K2128" s="260"/>
      <c r="L2128" s="260"/>
      <c r="M2128" s="260"/>
      <c r="N2128" s="260"/>
      <c r="O2128" s="260"/>
      <c r="P2128" s="211"/>
      <c r="Q2128" s="261"/>
      <c r="R2128" s="208" t="str">
        <f ca="1">IF(ISERROR($V2128),"",OFFSET('Smelter Look-up'!$C$4,$V2128-4,0)&amp;"")</f>
        <v/>
      </c>
      <c r="S2128" s="215" t="str">
        <f t="shared" ca="1" si="300"/>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si="301"/>
        <v>0</v>
      </c>
      <c r="Y2128" s="263"/>
      <c r="Z2128" s="263"/>
      <c r="AB2128" s="265" t="str">
        <f t="shared" si="302"/>
        <v/>
      </c>
    </row>
    <row r="2129" spans="1:28" s="264" customFormat="1" ht="20.399999999999999">
      <c r="A2129" s="207"/>
      <c r="B2129" s="208"/>
      <c r="C2129" s="212"/>
      <c r="D2129" s="270"/>
      <c r="E2129" s="208"/>
      <c r="F2129" s="208"/>
      <c r="G2129" s="208"/>
      <c r="H2129" s="209"/>
      <c r="I2129" s="210"/>
      <c r="J2129" s="210"/>
      <c r="K2129" s="260"/>
      <c r="L2129" s="260"/>
      <c r="M2129" s="260"/>
      <c r="N2129" s="260"/>
      <c r="O2129" s="260"/>
      <c r="P2129" s="211"/>
      <c r="Q2129" s="261"/>
      <c r="R2129" s="208" t="str">
        <f ca="1">IF(ISERROR($V2129),"",OFFSET('Smelter Look-up'!$C$4,$V2129-4,0)&amp;"")</f>
        <v/>
      </c>
      <c r="S2129" s="215" t="str">
        <f t="shared" ca="1" si="300"/>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si="301"/>
        <v>0</v>
      </c>
      <c r="Y2129" s="263"/>
      <c r="Z2129" s="263"/>
      <c r="AB2129" s="265" t="str">
        <f t="shared" si="302"/>
        <v/>
      </c>
    </row>
    <row r="2130" spans="1:28" s="264" customFormat="1" ht="20.399999999999999">
      <c r="A2130" s="207"/>
      <c r="B2130" s="208"/>
      <c r="C2130" s="212"/>
      <c r="D2130" s="270"/>
      <c r="E2130" s="208"/>
      <c r="F2130" s="208"/>
      <c r="G2130" s="208"/>
      <c r="H2130" s="209"/>
      <c r="I2130" s="210"/>
      <c r="J2130" s="210"/>
      <c r="K2130" s="260"/>
      <c r="L2130" s="260"/>
      <c r="M2130" s="260"/>
      <c r="N2130" s="260"/>
      <c r="O2130" s="260"/>
      <c r="P2130" s="211"/>
      <c r="Q2130" s="261"/>
      <c r="R2130" s="208" t="str">
        <f ca="1">IF(ISERROR($V2130),"",OFFSET('Smelter Look-up'!$C$4,$V2130-4,0)&amp;"")</f>
        <v/>
      </c>
      <c r="S2130" s="215" t="str">
        <f t="shared" ca="1" si="300"/>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si="301"/>
        <v>0</v>
      </c>
      <c r="Y2130" s="263"/>
      <c r="Z2130" s="263"/>
      <c r="AB2130" s="265" t="str">
        <f t="shared" si="302"/>
        <v/>
      </c>
    </row>
    <row r="2131" spans="1:28" s="264" customFormat="1" ht="20.399999999999999">
      <c r="A2131" s="207"/>
      <c r="B2131" s="208"/>
      <c r="C2131" s="212"/>
      <c r="D2131" s="270"/>
      <c r="E2131" s="208"/>
      <c r="F2131" s="208"/>
      <c r="G2131" s="208"/>
      <c r="H2131" s="209"/>
      <c r="I2131" s="210"/>
      <c r="J2131" s="210"/>
      <c r="K2131" s="260"/>
      <c r="L2131" s="260"/>
      <c r="M2131" s="260"/>
      <c r="N2131" s="260"/>
      <c r="O2131" s="260"/>
      <c r="P2131" s="211"/>
      <c r="Q2131" s="261"/>
      <c r="R2131" s="208" t="str">
        <f ca="1">IF(ISERROR($V2131),"",OFFSET('Smelter Look-up'!$C$4,$V2131-4,0)&amp;"")</f>
        <v/>
      </c>
      <c r="S2131" s="215" t="str">
        <f t="shared" ca="1" si="300"/>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si="301"/>
        <v>0</v>
      </c>
      <c r="Y2131" s="263"/>
      <c r="Z2131" s="263"/>
      <c r="AB2131" s="265" t="str">
        <f t="shared" si="302"/>
        <v/>
      </c>
    </row>
    <row r="2132" spans="1:28" s="264" customFormat="1" ht="20.399999999999999">
      <c r="A2132" s="207"/>
      <c r="B2132" s="208"/>
      <c r="C2132" s="212"/>
      <c r="D2132" s="270"/>
      <c r="E2132" s="208"/>
      <c r="F2132" s="208"/>
      <c r="G2132" s="208"/>
      <c r="H2132" s="209"/>
      <c r="I2132" s="210"/>
      <c r="J2132" s="210"/>
      <c r="K2132" s="260"/>
      <c r="L2132" s="260"/>
      <c r="M2132" s="260"/>
      <c r="N2132" s="260"/>
      <c r="O2132" s="260"/>
      <c r="P2132" s="211"/>
      <c r="Q2132" s="261"/>
      <c r="R2132" s="208" t="str">
        <f ca="1">IF(ISERROR($V2132),"",OFFSET('Smelter Look-up'!$C$4,$V2132-4,0)&amp;"")</f>
        <v/>
      </c>
      <c r="S2132" s="215" t="str">
        <f t="shared" ca="1" si="300"/>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si="301"/>
        <v>0</v>
      </c>
      <c r="Y2132" s="263"/>
      <c r="Z2132" s="263"/>
      <c r="AB2132" s="265" t="str">
        <f t="shared" si="302"/>
        <v/>
      </c>
    </row>
    <row r="2133" spans="1:28" s="264" customFormat="1" ht="20.399999999999999">
      <c r="A2133" s="207"/>
      <c r="B2133" s="208"/>
      <c r="C2133" s="212"/>
      <c r="D2133" s="270"/>
      <c r="E2133" s="208"/>
      <c r="F2133" s="208"/>
      <c r="G2133" s="208"/>
      <c r="H2133" s="209"/>
      <c r="I2133" s="210"/>
      <c r="J2133" s="210"/>
      <c r="K2133" s="260"/>
      <c r="L2133" s="260"/>
      <c r="M2133" s="260"/>
      <c r="N2133" s="260"/>
      <c r="O2133" s="260"/>
      <c r="P2133" s="211"/>
      <c r="Q2133" s="261"/>
      <c r="R2133" s="208" t="str">
        <f ca="1">IF(ISERROR($V2133),"",OFFSET('Smelter Look-up'!$C$4,$V2133-4,0)&amp;"")</f>
        <v/>
      </c>
      <c r="S2133" s="215" t="str">
        <f t="shared" ca="1" si="300"/>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si="301"/>
        <v>0</v>
      </c>
      <c r="Y2133" s="263"/>
      <c r="Z2133" s="263"/>
      <c r="AB2133" s="265" t="str">
        <f t="shared" si="302"/>
        <v/>
      </c>
    </row>
    <row r="2134" spans="1:28" s="264" customFormat="1" ht="20.399999999999999">
      <c r="A2134" s="207"/>
      <c r="B2134" s="208"/>
      <c r="C2134" s="212"/>
      <c r="D2134" s="270"/>
      <c r="E2134" s="208"/>
      <c r="F2134" s="208"/>
      <c r="G2134" s="208"/>
      <c r="H2134" s="209"/>
      <c r="I2134" s="210"/>
      <c r="J2134" s="210"/>
      <c r="K2134" s="260"/>
      <c r="L2134" s="260"/>
      <c r="M2134" s="260"/>
      <c r="N2134" s="260"/>
      <c r="O2134" s="260"/>
      <c r="P2134" s="211"/>
      <c r="Q2134" s="261"/>
      <c r="R2134" s="208" t="str">
        <f ca="1">IF(ISERROR($V2134),"",OFFSET('Smelter Look-up'!$C$4,$V2134-4,0)&amp;"")</f>
        <v/>
      </c>
      <c r="S2134" s="215" t="str">
        <f t="shared" ca="1" si="300"/>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si="301"/>
        <v>0</v>
      </c>
      <c r="Y2134" s="263"/>
      <c r="Z2134" s="263"/>
      <c r="AB2134" s="265" t="str">
        <f t="shared" si="302"/>
        <v/>
      </c>
    </row>
    <row r="2135" spans="1:28" s="264" customFormat="1" ht="20.399999999999999">
      <c r="A2135" s="207"/>
      <c r="B2135" s="208"/>
      <c r="C2135" s="212"/>
      <c r="D2135" s="270"/>
      <c r="E2135" s="208"/>
      <c r="F2135" s="208"/>
      <c r="G2135" s="208"/>
      <c r="H2135" s="209"/>
      <c r="I2135" s="210"/>
      <c r="J2135" s="210"/>
      <c r="K2135" s="260"/>
      <c r="L2135" s="260"/>
      <c r="M2135" s="260"/>
      <c r="N2135" s="260"/>
      <c r="O2135" s="260"/>
      <c r="P2135" s="211"/>
      <c r="Q2135" s="261"/>
      <c r="R2135" s="208" t="str">
        <f ca="1">IF(ISERROR($V2135),"",OFFSET('Smelter Look-up'!$C$4,$V2135-4,0)&amp;"")</f>
        <v/>
      </c>
      <c r="S2135" s="215" t="str">
        <f t="shared" ca="1" si="300"/>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si="301"/>
        <v>0</v>
      </c>
      <c r="Y2135" s="263"/>
      <c r="Z2135" s="263"/>
      <c r="AB2135" s="265" t="str">
        <f t="shared" si="302"/>
        <v/>
      </c>
    </row>
    <row r="2136" spans="1:28" s="264" customFormat="1" ht="20.399999999999999">
      <c r="A2136" s="207"/>
      <c r="B2136" s="208"/>
      <c r="C2136" s="212"/>
      <c r="D2136" s="270"/>
      <c r="E2136" s="208"/>
      <c r="F2136" s="208"/>
      <c r="G2136" s="208"/>
      <c r="H2136" s="209"/>
      <c r="I2136" s="210"/>
      <c r="J2136" s="210"/>
      <c r="K2136" s="260"/>
      <c r="L2136" s="260"/>
      <c r="M2136" s="260"/>
      <c r="N2136" s="260"/>
      <c r="O2136" s="260"/>
      <c r="P2136" s="211"/>
      <c r="Q2136" s="261"/>
      <c r="R2136" s="208" t="str">
        <f ca="1">IF(ISERROR($V2136),"",OFFSET('Smelter Look-up'!$C$4,$V2136-4,0)&amp;"")</f>
        <v/>
      </c>
      <c r="S2136" s="215" t="str">
        <f t="shared" ca="1" si="300"/>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si="301"/>
        <v>0</v>
      </c>
      <c r="Y2136" s="263"/>
      <c r="Z2136" s="263"/>
      <c r="AB2136" s="265" t="str">
        <f t="shared" si="302"/>
        <v/>
      </c>
    </row>
    <row r="2137" spans="1:28" s="264" customFormat="1" ht="20.399999999999999">
      <c r="A2137" s="207"/>
      <c r="B2137" s="208"/>
      <c r="C2137" s="212"/>
      <c r="D2137" s="270"/>
      <c r="E2137" s="208"/>
      <c r="F2137" s="208"/>
      <c r="G2137" s="208"/>
      <c r="H2137" s="209"/>
      <c r="I2137" s="210"/>
      <c r="J2137" s="210"/>
      <c r="K2137" s="260"/>
      <c r="L2137" s="260"/>
      <c r="M2137" s="260"/>
      <c r="N2137" s="260"/>
      <c r="O2137" s="260"/>
      <c r="P2137" s="211"/>
      <c r="Q2137" s="261"/>
      <c r="R2137" s="208" t="str">
        <f ca="1">IF(ISERROR($V2137),"",OFFSET('Smelter Look-up'!$C$4,$V2137-4,0)&amp;"")</f>
        <v/>
      </c>
      <c r="S2137" s="215" t="str">
        <f t="shared" ca="1" si="300"/>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si="301"/>
        <v>0</v>
      </c>
      <c r="Y2137" s="263"/>
      <c r="Z2137" s="263"/>
      <c r="AB2137" s="265" t="str">
        <f t="shared" si="302"/>
        <v/>
      </c>
    </row>
    <row r="2138" spans="1:28" s="264" customFormat="1" ht="20.399999999999999">
      <c r="A2138" s="207"/>
      <c r="B2138" s="208"/>
      <c r="C2138" s="212"/>
      <c r="D2138" s="270"/>
      <c r="E2138" s="208"/>
      <c r="F2138" s="208"/>
      <c r="G2138" s="208"/>
      <c r="H2138" s="209"/>
      <c r="I2138" s="210"/>
      <c r="J2138" s="210"/>
      <c r="K2138" s="260"/>
      <c r="L2138" s="260"/>
      <c r="M2138" s="260"/>
      <c r="N2138" s="260"/>
      <c r="O2138" s="260"/>
      <c r="P2138" s="211"/>
      <c r="Q2138" s="261"/>
      <c r="R2138" s="208" t="str">
        <f ca="1">IF(ISERROR($V2138),"",OFFSET('Smelter Look-up'!$C$4,$V2138-4,0)&amp;"")</f>
        <v/>
      </c>
      <c r="S2138" s="215" t="str">
        <f t="shared" ca="1" si="300"/>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si="301"/>
        <v>0</v>
      </c>
      <c r="Y2138" s="263"/>
      <c r="Z2138" s="263"/>
      <c r="AB2138" s="265" t="str">
        <f t="shared" si="302"/>
        <v/>
      </c>
    </row>
    <row r="2139" spans="1:28" s="264" customFormat="1" ht="20.399999999999999">
      <c r="A2139" s="207"/>
      <c r="B2139" s="208"/>
      <c r="C2139" s="212"/>
      <c r="D2139" s="270"/>
      <c r="E2139" s="208"/>
      <c r="F2139" s="208"/>
      <c r="G2139" s="208"/>
      <c r="H2139" s="209"/>
      <c r="I2139" s="210"/>
      <c r="J2139" s="210"/>
      <c r="K2139" s="260"/>
      <c r="L2139" s="260"/>
      <c r="M2139" s="260"/>
      <c r="N2139" s="260"/>
      <c r="O2139" s="260"/>
      <c r="P2139" s="211"/>
      <c r="Q2139" s="261"/>
      <c r="R2139" s="208" t="str">
        <f ca="1">IF(ISERROR($V2139),"",OFFSET('Smelter Look-up'!$C$4,$V2139-4,0)&amp;"")</f>
        <v/>
      </c>
      <c r="S2139" s="215" t="str">
        <f t="shared" ca="1" si="300"/>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si="301"/>
        <v>0</v>
      </c>
      <c r="Y2139" s="263"/>
      <c r="Z2139" s="263"/>
      <c r="AB2139" s="265" t="str">
        <f t="shared" si="302"/>
        <v/>
      </c>
    </row>
    <row r="2140" spans="1:28" s="264" customFormat="1" ht="20.399999999999999">
      <c r="A2140" s="207"/>
      <c r="B2140" s="208"/>
      <c r="C2140" s="212"/>
      <c r="D2140" s="270"/>
      <c r="E2140" s="208"/>
      <c r="F2140" s="208"/>
      <c r="G2140" s="208"/>
      <c r="H2140" s="209"/>
      <c r="I2140" s="210"/>
      <c r="J2140" s="210"/>
      <c r="K2140" s="260"/>
      <c r="L2140" s="260"/>
      <c r="M2140" s="260"/>
      <c r="N2140" s="260"/>
      <c r="O2140" s="260"/>
      <c r="P2140" s="211"/>
      <c r="Q2140" s="261"/>
      <c r="R2140" s="208" t="str">
        <f ca="1">IF(ISERROR($V2140),"",OFFSET('Smelter Look-up'!$C$4,$V2140-4,0)&amp;"")</f>
        <v/>
      </c>
      <c r="S2140" s="215" t="str">
        <f t="shared" ref="S2140:S2170" ca="1" si="303">IF(B2140="","",IF(ISERROR(MATCH($E2140,CL,0)),"Unknown",INDIRECT("'C'!$A$"&amp;MATCH($E2140,CL,0)+1)))</f>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ref="X2140:X2170" si="304">IF(AND(C2140="Smelter not listed",OR(LEN(D2140)=0,LEN(E2140)=0)),1,0)</f>
        <v>0</v>
      </c>
      <c r="Y2140" s="263"/>
      <c r="Z2140" s="263"/>
      <c r="AB2140" s="265" t="str">
        <f t="shared" ref="AB2140:AB2170" si="305">B2140&amp;C2140</f>
        <v/>
      </c>
    </row>
    <row r="2141" spans="1:28" s="264" customFormat="1" ht="20.399999999999999">
      <c r="A2141" s="207"/>
      <c r="B2141" s="208"/>
      <c r="C2141" s="212"/>
      <c r="D2141" s="270"/>
      <c r="E2141" s="208"/>
      <c r="F2141" s="208"/>
      <c r="G2141" s="208"/>
      <c r="H2141" s="209"/>
      <c r="I2141" s="210"/>
      <c r="J2141" s="210"/>
      <c r="K2141" s="260"/>
      <c r="L2141" s="260"/>
      <c r="M2141" s="260"/>
      <c r="N2141" s="260"/>
      <c r="O2141" s="260"/>
      <c r="P2141" s="211"/>
      <c r="Q2141" s="261"/>
      <c r="R2141" s="208" t="str">
        <f ca="1">IF(ISERROR($V2141),"",OFFSET('Smelter Look-up'!$C$4,$V2141-4,0)&amp;"")</f>
        <v/>
      </c>
      <c r="S2141" s="215" t="str">
        <f t="shared" ca="1" si="303"/>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si="304"/>
        <v>0</v>
      </c>
      <c r="Y2141" s="263"/>
      <c r="Z2141" s="263"/>
      <c r="AB2141" s="265" t="str">
        <f t="shared" si="305"/>
        <v/>
      </c>
    </row>
    <row r="2142" spans="1:28" s="264" customFormat="1" ht="20.399999999999999">
      <c r="A2142" s="207"/>
      <c r="B2142" s="208"/>
      <c r="C2142" s="212"/>
      <c r="D2142" s="270"/>
      <c r="E2142" s="208"/>
      <c r="F2142" s="208"/>
      <c r="G2142" s="208"/>
      <c r="H2142" s="209"/>
      <c r="I2142" s="210"/>
      <c r="J2142" s="210"/>
      <c r="K2142" s="260"/>
      <c r="L2142" s="260"/>
      <c r="M2142" s="260"/>
      <c r="N2142" s="260"/>
      <c r="O2142" s="260"/>
      <c r="P2142" s="211"/>
      <c r="Q2142" s="261"/>
      <c r="R2142" s="208" t="str">
        <f ca="1">IF(ISERROR($V2142),"",OFFSET('Smelter Look-up'!$C$4,$V2142-4,0)&amp;"")</f>
        <v/>
      </c>
      <c r="S2142" s="215" t="str">
        <f t="shared" ca="1" si="303"/>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si="304"/>
        <v>0</v>
      </c>
      <c r="Y2142" s="263"/>
      <c r="Z2142" s="263"/>
      <c r="AB2142" s="265" t="str">
        <f t="shared" si="305"/>
        <v/>
      </c>
    </row>
    <row r="2143" spans="1:28" s="264" customFormat="1" ht="20.399999999999999">
      <c r="A2143" s="207"/>
      <c r="B2143" s="208"/>
      <c r="C2143" s="212"/>
      <c r="D2143" s="270"/>
      <c r="E2143" s="208"/>
      <c r="F2143" s="208"/>
      <c r="G2143" s="208"/>
      <c r="H2143" s="209"/>
      <c r="I2143" s="210"/>
      <c r="J2143" s="210"/>
      <c r="K2143" s="260"/>
      <c r="L2143" s="260"/>
      <c r="M2143" s="260"/>
      <c r="N2143" s="260"/>
      <c r="O2143" s="260"/>
      <c r="P2143" s="211"/>
      <c r="Q2143" s="261"/>
      <c r="R2143" s="208" t="str">
        <f ca="1">IF(ISERROR($V2143),"",OFFSET('Smelter Look-up'!$C$4,$V2143-4,0)&amp;"")</f>
        <v/>
      </c>
      <c r="S2143" s="215" t="str">
        <f t="shared" ca="1" si="303"/>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si="304"/>
        <v>0</v>
      </c>
      <c r="Y2143" s="263"/>
      <c r="Z2143" s="263"/>
      <c r="AB2143" s="265" t="str">
        <f t="shared" si="305"/>
        <v/>
      </c>
    </row>
    <row r="2144" spans="1:28" s="264" customFormat="1" ht="20.399999999999999">
      <c r="A2144" s="207"/>
      <c r="B2144" s="208"/>
      <c r="C2144" s="212"/>
      <c r="D2144" s="270"/>
      <c r="E2144" s="208"/>
      <c r="F2144" s="208"/>
      <c r="G2144" s="208"/>
      <c r="H2144" s="209"/>
      <c r="I2144" s="210"/>
      <c r="J2144" s="210"/>
      <c r="K2144" s="260"/>
      <c r="L2144" s="260"/>
      <c r="M2144" s="260"/>
      <c r="N2144" s="260"/>
      <c r="O2144" s="260"/>
      <c r="P2144" s="211"/>
      <c r="Q2144" s="261"/>
      <c r="R2144" s="208" t="str">
        <f ca="1">IF(ISERROR($V2144),"",OFFSET('Smelter Look-up'!$C$4,$V2144-4,0)&amp;"")</f>
        <v/>
      </c>
      <c r="S2144" s="215" t="str">
        <f t="shared" ca="1" si="303"/>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si="304"/>
        <v>0</v>
      </c>
      <c r="Y2144" s="263"/>
      <c r="Z2144" s="263"/>
      <c r="AB2144" s="265" t="str">
        <f t="shared" si="305"/>
        <v/>
      </c>
    </row>
    <row r="2145" spans="1:28" s="264" customFormat="1" ht="20.399999999999999">
      <c r="A2145" s="207"/>
      <c r="B2145" s="208"/>
      <c r="C2145" s="212"/>
      <c r="D2145" s="270"/>
      <c r="E2145" s="208"/>
      <c r="F2145" s="208"/>
      <c r="G2145" s="208"/>
      <c r="H2145" s="209"/>
      <c r="I2145" s="210"/>
      <c r="J2145" s="210"/>
      <c r="K2145" s="260"/>
      <c r="L2145" s="260"/>
      <c r="M2145" s="260"/>
      <c r="N2145" s="260"/>
      <c r="O2145" s="260"/>
      <c r="P2145" s="211"/>
      <c r="Q2145" s="261"/>
      <c r="R2145" s="208" t="str">
        <f ca="1">IF(ISERROR($V2145),"",OFFSET('Smelter Look-up'!$C$4,$V2145-4,0)&amp;"")</f>
        <v/>
      </c>
      <c r="S2145" s="215" t="str">
        <f t="shared" ca="1" si="303"/>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si="304"/>
        <v>0</v>
      </c>
      <c r="Y2145" s="263"/>
      <c r="Z2145" s="263"/>
      <c r="AB2145" s="265" t="str">
        <f t="shared" si="305"/>
        <v/>
      </c>
    </row>
    <row r="2146" spans="1:28" s="264" customFormat="1" ht="20.399999999999999">
      <c r="A2146" s="207"/>
      <c r="B2146" s="208"/>
      <c r="C2146" s="212"/>
      <c r="D2146" s="270"/>
      <c r="E2146" s="208"/>
      <c r="F2146" s="208"/>
      <c r="G2146" s="208"/>
      <c r="H2146" s="209"/>
      <c r="I2146" s="210"/>
      <c r="J2146" s="210"/>
      <c r="K2146" s="260"/>
      <c r="L2146" s="260"/>
      <c r="M2146" s="260"/>
      <c r="N2146" s="260"/>
      <c r="O2146" s="260"/>
      <c r="P2146" s="211"/>
      <c r="Q2146" s="261"/>
      <c r="R2146" s="208" t="str">
        <f ca="1">IF(ISERROR($V2146),"",OFFSET('Smelter Look-up'!$C$4,$V2146-4,0)&amp;"")</f>
        <v/>
      </c>
      <c r="S2146" s="215" t="str">
        <f t="shared" ca="1" si="303"/>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si="304"/>
        <v>0</v>
      </c>
      <c r="Y2146" s="263"/>
      <c r="Z2146" s="263"/>
      <c r="AB2146" s="265" t="str">
        <f t="shared" si="305"/>
        <v/>
      </c>
    </row>
    <row r="2147" spans="1:28" s="264" customFormat="1" ht="20.399999999999999">
      <c r="A2147" s="207"/>
      <c r="B2147" s="208"/>
      <c r="C2147" s="212"/>
      <c r="D2147" s="270"/>
      <c r="E2147" s="208"/>
      <c r="F2147" s="208"/>
      <c r="G2147" s="208"/>
      <c r="H2147" s="209"/>
      <c r="I2147" s="210"/>
      <c r="J2147" s="210"/>
      <c r="K2147" s="260"/>
      <c r="L2147" s="260"/>
      <c r="M2147" s="260"/>
      <c r="N2147" s="260"/>
      <c r="O2147" s="260"/>
      <c r="P2147" s="211"/>
      <c r="Q2147" s="261"/>
      <c r="R2147" s="208" t="str">
        <f ca="1">IF(ISERROR($V2147),"",OFFSET('Smelter Look-up'!$C$4,$V2147-4,0)&amp;"")</f>
        <v/>
      </c>
      <c r="S2147" s="215" t="str">
        <f t="shared" ca="1" si="303"/>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si="304"/>
        <v>0</v>
      </c>
      <c r="Y2147" s="263"/>
      <c r="Z2147" s="263"/>
      <c r="AB2147" s="265" t="str">
        <f t="shared" si="305"/>
        <v/>
      </c>
    </row>
    <row r="2148" spans="1:28" s="264" customFormat="1" ht="20.399999999999999">
      <c r="A2148" s="207"/>
      <c r="B2148" s="208"/>
      <c r="C2148" s="212"/>
      <c r="D2148" s="270"/>
      <c r="E2148" s="208"/>
      <c r="F2148" s="208"/>
      <c r="G2148" s="208"/>
      <c r="H2148" s="209"/>
      <c r="I2148" s="210"/>
      <c r="J2148" s="210"/>
      <c r="K2148" s="260"/>
      <c r="L2148" s="260"/>
      <c r="M2148" s="260"/>
      <c r="N2148" s="260"/>
      <c r="O2148" s="260"/>
      <c r="P2148" s="211"/>
      <c r="Q2148" s="261"/>
      <c r="R2148" s="208" t="str">
        <f ca="1">IF(ISERROR($V2148),"",OFFSET('Smelter Look-up'!$C$4,$V2148-4,0)&amp;"")</f>
        <v/>
      </c>
      <c r="S2148" s="215" t="str">
        <f t="shared" ca="1" si="303"/>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si="304"/>
        <v>0</v>
      </c>
      <c r="Y2148" s="263"/>
      <c r="Z2148" s="263"/>
      <c r="AB2148" s="265" t="str">
        <f t="shared" si="305"/>
        <v/>
      </c>
    </row>
    <row r="2149" spans="1:28" s="264" customFormat="1" ht="20.399999999999999">
      <c r="A2149" s="207"/>
      <c r="B2149" s="208"/>
      <c r="C2149" s="212"/>
      <c r="D2149" s="270"/>
      <c r="E2149" s="208"/>
      <c r="F2149" s="208"/>
      <c r="G2149" s="208"/>
      <c r="H2149" s="209"/>
      <c r="I2149" s="210"/>
      <c r="J2149" s="210"/>
      <c r="K2149" s="260"/>
      <c r="L2149" s="260"/>
      <c r="M2149" s="260"/>
      <c r="N2149" s="260"/>
      <c r="O2149" s="260"/>
      <c r="P2149" s="211"/>
      <c r="Q2149" s="261"/>
      <c r="R2149" s="208" t="str">
        <f ca="1">IF(ISERROR($V2149),"",OFFSET('Smelter Look-up'!$C$4,$V2149-4,0)&amp;"")</f>
        <v/>
      </c>
      <c r="S2149" s="215" t="str">
        <f t="shared" ca="1" si="303"/>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si="304"/>
        <v>0</v>
      </c>
      <c r="Y2149" s="263"/>
      <c r="Z2149" s="263"/>
      <c r="AB2149" s="265" t="str">
        <f t="shared" si="305"/>
        <v/>
      </c>
    </row>
    <row r="2150" spans="1:28" s="264" customFormat="1" ht="20.399999999999999">
      <c r="A2150" s="207"/>
      <c r="B2150" s="208"/>
      <c r="C2150" s="212"/>
      <c r="D2150" s="270"/>
      <c r="E2150" s="208"/>
      <c r="F2150" s="208"/>
      <c r="G2150" s="208"/>
      <c r="H2150" s="209"/>
      <c r="I2150" s="210"/>
      <c r="J2150" s="210"/>
      <c r="K2150" s="260"/>
      <c r="L2150" s="260"/>
      <c r="M2150" s="260"/>
      <c r="N2150" s="260"/>
      <c r="O2150" s="260"/>
      <c r="P2150" s="211"/>
      <c r="Q2150" s="261"/>
      <c r="R2150" s="208" t="str">
        <f ca="1">IF(ISERROR($V2150),"",OFFSET('Smelter Look-up'!$C$4,$V2150-4,0)&amp;"")</f>
        <v/>
      </c>
      <c r="S2150" s="215" t="str">
        <f t="shared" ca="1" si="303"/>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si="304"/>
        <v>0</v>
      </c>
      <c r="Y2150" s="263"/>
      <c r="Z2150" s="263"/>
      <c r="AB2150" s="265" t="str">
        <f t="shared" si="305"/>
        <v/>
      </c>
    </row>
    <row r="2151" spans="1:28" s="264" customFormat="1" ht="20.399999999999999">
      <c r="A2151" s="207"/>
      <c r="B2151" s="208"/>
      <c r="C2151" s="212"/>
      <c r="D2151" s="270"/>
      <c r="E2151" s="208"/>
      <c r="F2151" s="208"/>
      <c r="G2151" s="208"/>
      <c r="H2151" s="209"/>
      <c r="I2151" s="210"/>
      <c r="J2151" s="210"/>
      <c r="K2151" s="260"/>
      <c r="L2151" s="260"/>
      <c r="M2151" s="260"/>
      <c r="N2151" s="260"/>
      <c r="O2151" s="260"/>
      <c r="P2151" s="211"/>
      <c r="Q2151" s="261"/>
      <c r="R2151" s="208" t="str">
        <f ca="1">IF(ISERROR($V2151),"",OFFSET('Smelter Look-up'!$C$4,$V2151-4,0)&amp;"")</f>
        <v/>
      </c>
      <c r="S2151" s="215" t="str">
        <f t="shared" ca="1" si="303"/>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si="304"/>
        <v>0</v>
      </c>
      <c r="Y2151" s="263"/>
      <c r="Z2151" s="263"/>
      <c r="AB2151" s="265" t="str">
        <f t="shared" si="305"/>
        <v/>
      </c>
    </row>
    <row r="2152" spans="1:28" s="264" customFormat="1" ht="20.399999999999999">
      <c r="A2152" s="207"/>
      <c r="B2152" s="208"/>
      <c r="C2152" s="212"/>
      <c r="D2152" s="270"/>
      <c r="E2152" s="208"/>
      <c r="F2152" s="208"/>
      <c r="G2152" s="208"/>
      <c r="H2152" s="209"/>
      <c r="I2152" s="210"/>
      <c r="J2152" s="210"/>
      <c r="K2152" s="260"/>
      <c r="L2152" s="260"/>
      <c r="M2152" s="260"/>
      <c r="N2152" s="260"/>
      <c r="O2152" s="260"/>
      <c r="P2152" s="211"/>
      <c r="Q2152" s="261"/>
      <c r="R2152" s="208" t="str">
        <f ca="1">IF(ISERROR($V2152),"",OFFSET('Smelter Look-up'!$C$4,$V2152-4,0)&amp;"")</f>
        <v/>
      </c>
      <c r="S2152" s="215" t="str">
        <f t="shared" ca="1" si="303"/>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si="304"/>
        <v>0</v>
      </c>
      <c r="Y2152" s="263"/>
      <c r="Z2152" s="263"/>
      <c r="AB2152" s="265" t="str">
        <f t="shared" si="305"/>
        <v/>
      </c>
    </row>
    <row r="2153" spans="1:28" s="264" customFormat="1" ht="20.399999999999999">
      <c r="A2153" s="207"/>
      <c r="B2153" s="208"/>
      <c r="C2153" s="212"/>
      <c r="D2153" s="270"/>
      <c r="E2153" s="208"/>
      <c r="F2153" s="208"/>
      <c r="G2153" s="208"/>
      <c r="H2153" s="209"/>
      <c r="I2153" s="210"/>
      <c r="J2153" s="210"/>
      <c r="K2153" s="260"/>
      <c r="L2153" s="260"/>
      <c r="M2153" s="260"/>
      <c r="N2153" s="260"/>
      <c r="O2153" s="260"/>
      <c r="P2153" s="211"/>
      <c r="Q2153" s="261"/>
      <c r="R2153" s="208" t="str">
        <f ca="1">IF(ISERROR($V2153),"",OFFSET('Smelter Look-up'!$C$4,$V2153-4,0)&amp;"")</f>
        <v/>
      </c>
      <c r="S2153" s="215" t="str">
        <f t="shared" ca="1" si="303"/>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si="304"/>
        <v>0</v>
      </c>
      <c r="Y2153" s="263"/>
      <c r="Z2153" s="263"/>
      <c r="AB2153" s="265" t="str">
        <f t="shared" si="305"/>
        <v/>
      </c>
    </row>
    <row r="2154" spans="1:28" s="264" customFormat="1" ht="20.399999999999999">
      <c r="A2154" s="207"/>
      <c r="B2154" s="208"/>
      <c r="C2154" s="212"/>
      <c r="D2154" s="270"/>
      <c r="E2154" s="208"/>
      <c r="F2154" s="208"/>
      <c r="G2154" s="208"/>
      <c r="H2154" s="209"/>
      <c r="I2154" s="210"/>
      <c r="J2154" s="210"/>
      <c r="K2154" s="260"/>
      <c r="L2154" s="260"/>
      <c r="M2154" s="260"/>
      <c r="N2154" s="260"/>
      <c r="O2154" s="260"/>
      <c r="P2154" s="211"/>
      <c r="Q2154" s="261"/>
      <c r="R2154" s="208" t="str">
        <f ca="1">IF(ISERROR($V2154),"",OFFSET('Smelter Look-up'!$C$4,$V2154-4,0)&amp;"")</f>
        <v/>
      </c>
      <c r="S2154" s="215" t="str">
        <f t="shared" ca="1" si="303"/>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si="304"/>
        <v>0</v>
      </c>
      <c r="Y2154" s="263"/>
      <c r="Z2154" s="263"/>
      <c r="AB2154" s="265" t="str">
        <f t="shared" si="305"/>
        <v/>
      </c>
    </row>
    <row r="2155" spans="1:28" s="264" customFormat="1" ht="20.399999999999999">
      <c r="A2155" s="207"/>
      <c r="B2155" s="208"/>
      <c r="C2155" s="212"/>
      <c r="D2155" s="270"/>
      <c r="E2155" s="208"/>
      <c r="F2155" s="208"/>
      <c r="G2155" s="208"/>
      <c r="H2155" s="209"/>
      <c r="I2155" s="210"/>
      <c r="J2155" s="210"/>
      <c r="K2155" s="260"/>
      <c r="L2155" s="260"/>
      <c r="M2155" s="260"/>
      <c r="N2155" s="260"/>
      <c r="O2155" s="260"/>
      <c r="P2155" s="211"/>
      <c r="Q2155" s="261"/>
      <c r="R2155" s="208" t="str">
        <f ca="1">IF(ISERROR($V2155),"",OFFSET('Smelter Look-up'!$C$4,$V2155-4,0)&amp;"")</f>
        <v/>
      </c>
      <c r="S2155" s="215" t="str">
        <f t="shared" ca="1" si="303"/>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si="304"/>
        <v>0</v>
      </c>
      <c r="Y2155" s="263"/>
      <c r="Z2155" s="263"/>
      <c r="AB2155" s="265" t="str">
        <f t="shared" si="305"/>
        <v/>
      </c>
    </row>
    <row r="2156" spans="1:28" s="264" customFormat="1" ht="20.399999999999999">
      <c r="A2156" s="207"/>
      <c r="B2156" s="208"/>
      <c r="C2156" s="212"/>
      <c r="D2156" s="270"/>
      <c r="E2156" s="208"/>
      <c r="F2156" s="208"/>
      <c r="G2156" s="208"/>
      <c r="H2156" s="209"/>
      <c r="I2156" s="210"/>
      <c r="J2156" s="210"/>
      <c r="K2156" s="260"/>
      <c r="L2156" s="260"/>
      <c r="M2156" s="260"/>
      <c r="N2156" s="260"/>
      <c r="O2156" s="260"/>
      <c r="P2156" s="211"/>
      <c r="Q2156" s="261"/>
      <c r="R2156" s="208" t="str">
        <f ca="1">IF(ISERROR($V2156),"",OFFSET('Smelter Look-up'!$C$4,$V2156-4,0)&amp;"")</f>
        <v/>
      </c>
      <c r="S2156" s="215" t="str">
        <f t="shared" ca="1" si="303"/>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si="304"/>
        <v>0</v>
      </c>
      <c r="Y2156" s="263"/>
      <c r="Z2156" s="263"/>
      <c r="AB2156" s="265" t="str">
        <f t="shared" si="305"/>
        <v/>
      </c>
    </row>
    <row r="2157" spans="1:28" s="264" customFormat="1" ht="20.399999999999999">
      <c r="A2157" s="207"/>
      <c r="B2157" s="208"/>
      <c r="C2157" s="212"/>
      <c r="D2157" s="270"/>
      <c r="E2157" s="208"/>
      <c r="F2157" s="208"/>
      <c r="G2157" s="208"/>
      <c r="H2157" s="209"/>
      <c r="I2157" s="210"/>
      <c r="J2157" s="210"/>
      <c r="K2157" s="260"/>
      <c r="L2157" s="260"/>
      <c r="M2157" s="260"/>
      <c r="N2157" s="260"/>
      <c r="O2157" s="260"/>
      <c r="P2157" s="211"/>
      <c r="Q2157" s="261"/>
      <c r="R2157" s="208" t="str">
        <f ca="1">IF(ISERROR($V2157),"",OFFSET('Smelter Look-up'!$C$4,$V2157-4,0)&amp;"")</f>
        <v/>
      </c>
      <c r="S2157" s="215" t="str">
        <f t="shared" ca="1" si="303"/>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si="304"/>
        <v>0</v>
      </c>
      <c r="Y2157" s="263"/>
      <c r="Z2157" s="263"/>
      <c r="AB2157" s="265" t="str">
        <f t="shared" si="305"/>
        <v/>
      </c>
    </row>
    <row r="2158" spans="1:28" s="264" customFormat="1" ht="20.399999999999999">
      <c r="A2158" s="207"/>
      <c r="B2158" s="208"/>
      <c r="C2158" s="212"/>
      <c r="D2158" s="270"/>
      <c r="E2158" s="208"/>
      <c r="F2158" s="208"/>
      <c r="G2158" s="208"/>
      <c r="H2158" s="209"/>
      <c r="I2158" s="210"/>
      <c r="J2158" s="210"/>
      <c r="K2158" s="260"/>
      <c r="L2158" s="260"/>
      <c r="M2158" s="260"/>
      <c r="N2158" s="260"/>
      <c r="O2158" s="260"/>
      <c r="P2158" s="211"/>
      <c r="Q2158" s="261"/>
      <c r="R2158" s="208" t="str">
        <f ca="1">IF(ISERROR($V2158),"",OFFSET('Smelter Look-up'!$C$4,$V2158-4,0)&amp;"")</f>
        <v/>
      </c>
      <c r="S2158" s="215" t="str">
        <f t="shared" ca="1" si="303"/>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si="304"/>
        <v>0</v>
      </c>
      <c r="Y2158" s="263"/>
      <c r="Z2158" s="263"/>
      <c r="AB2158" s="265" t="str">
        <f t="shared" si="305"/>
        <v/>
      </c>
    </row>
    <row r="2159" spans="1:28" s="264" customFormat="1" ht="20.399999999999999">
      <c r="A2159" s="207"/>
      <c r="B2159" s="208"/>
      <c r="C2159" s="212"/>
      <c r="D2159" s="270"/>
      <c r="E2159" s="208"/>
      <c r="F2159" s="208"/>
      <c r="G2159" s="208"/>
      <c r="H2159" s="209"/>
      <c r="I2159" s="210"/>
      <c r="J2159" s="210"/>
      <c r="K2159" s="260"/>
      <c r="L2159" s="260"/>
      <c r="M2159" s="260"/>
      <c r="N2159" s="260"/>
      <c r="O2159" s="260"/>
      <c r="P2159" s="211"/>
      <c r="Q2159" s="261"/>
      <c r="R2159" s="208" t="str">
        <f ca="1">IF(ISERROR($V2159),"",OFFSET('Smelter Look-up'!$C$4,$V2159-4,0)&amp;"")</f>
        <v/>
      </c>
      <c r="S2159" s="215" t="str">
        <f t="shared" ca="1" si="303"/>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si="304"/>
        <v>0</v>
      </c>
      <c r="Y2159" s="263"/>
      <c r="Z2159" s="263"/>
      <c r="AB2159" s="265" t="str">
        <f t="shared" si="305"/>
        <v/>
      </c>
    </row>
    <row r="2160" spans="1:28" s="264" customFormat="1" ht="20.399999999999999">
      <c r="A2160" s="207"/>
      <c r="B2160" s="208"/>
      <c r="C2160" s="212"/>
      <c r="D2160" s="270"/>
      <c r="E2160" s="208"/>
      <c r="F2160" s="208"/>
      <c r="G2160" s="208"/>
      <c r="H2160" s="209"/>
      <c r="I2160" s="210"/>
      <c r="J2160" s="210"/>
      <c r="K2160" s="260"/>
      <c r="L2160" s="260"/>
      <c r="M2160" s="260"/>
      <c r="N2160" s="260"/>
      <c r="O2160" s="260"/>
      <c r="P2160" s="211"/>
      <c r="Q2160" s="261"/>
      <c r="R2160" s="208" t="str">
        <f ca="1">IF(ISERROR($V2160),"",OFFSET('Smelter Look-up'!$C$4,$V2160-4,0)&amp;"")</f>
        <v/>
      </c>
      <c r="S2160" s="215" t="str">
        <f t="shared" ca="1" si="303"/>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si="304"/>
        <v>0</v>
      </c>
      <c r="Y2160" s="263"/>
      <c r="Z2160" s="263"/>
      <c r="AB2160" s="265" t="str">
        <f t="shared" si="305"/>
        <v/>
      </c>
    </row>
    <row r="2161" spans="1:28" s="264" customFormat="1" ht="20.399999999999999">
      <c r="A2161" s="207"/>
      <c r="B2161" s="208"/>
      <c r="C2161" s="212"/>
      <c r="D2161" s="270"/>
      <c r="E2161" s="208"/>
      <c r="F2161" s="208"/>
      <c r="G2161" s="208"/>
      <c r="H2161" s="209"/>
      <c r="I2161" s="210"/>
      <c r="J2161" s="210"/>
      <c r="K2161" s="260"/>
      <c r="L2161" s="260"/>
      <c r="M2161" s="260"/>
      <c r="N2161" s="260"/>
      <c r="O2161" s="260"/>
      <c r="P2161" s="211"/>
      <c r="Q2161" s="261"/>
      <c r="R2161" s="208" t="str">
        <f ca="1">IF(ISERROR($V2161),"",OFFSET('Smelter Look-up'!$C$4,$V2161-4,0)&amp;"")</f>
        <v/>
      </c>
      <c r="S2161" s="215" t="str">
        <f t="shared" ca="1" si="303"/>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si="304"/>
        <v>0</v>
      </c>
      <c r="Y2161" s="263"/>
      <c r="Z2161" s="263"/>
      <c r="AB2161" s="265" t="str">
        <f t="shared" si="305"/>
        <v/>
      </c>
    </row>
    <row r="2162" spans="1:28" s="264" customFormat="1" ht="20.399999999999999">
      <c r="A2162" s="207"/>
      <c r="B2162" s="208"/>
      <c r="C2162" s="212"/>
      <c r="D2162" s="270"/>
      <c r="E2162" s="208"/>
      <c r="F2162" s="208"/>
      <c r="G2162" s="208"/>
      <c r="H2162" s="209"/>
      <c r="I2162" s="210"/>
      <c r="J2162" s="210"/>
      <c r="K2162" s="260"/>
      <c r="L2162" s="260"/>
      <c r="M2162" s="260"/>
      <c r="N2162" s="260"/>
      <c r="O2162" s="260"/>
      <c r="P2162" s="211"/>
      <c r="Q2162" s="261"/>
      <c r="R2162" s="208" t="str">
        <f ca="1">IF(ISERROR($V2162),"",OFFSET('Smelter Look-up'!$C$4,$V2162-4,0)&amp;"")</f>
        <v/>
      </c>
      <c r="S2162" s="215" t="str">
        <f t="shared" ca="1" si="303"/>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si="304"/>
        <v>0</v>
      </c>
      <c r="Y2162" s="263"/>
      <c r="Z2162" s="263"/>
      <c r="AB2162" s="265" t="str">
        <f t="shared" si="305"/>
        <v/>
      </c>
    </row>
    <row r="2163" spans="1:28" s="264" customFormat="1" ht="20.399999999999999">
      <c r="A2163" s="207"/>
      <c r="B2163" s="208"/>
      <c r="C2163" s="212"/>
      <c r="D2163" s="270"/>
      <c r="E2163" s="208"/>
      <c r="F2163" s="208"/>
      <c r="G2163" s="208"/>
      <c r="H2163" s="209"/>
      <c r="I2163" s="210"/>
      <c r="J2163" s="210"/>
      <c r="K2163" s="260"/>
      <c r="L2163" s="260"/>
      <c r="M2163" s="260"/>
      <c r="N2163" s="260"/>
      <c r="O2163" s="260"/>
      <c r="P2163" s="211"/>
      <c r="Q2163" s="261"/>
      <c r="R2163" s="208" t="str">
        <f ca="1">IF(ISERROR($V2163),"",OFFSET('Smelter Look-up'!$C$4,$V2163-4,0)&amp;"")</f>
        <v/>
      </c>
      <c r="S2163" s="215" t="str">
        <f t="shared" ca="1" si="303"/>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si="304"/>
        <v>0</v>
      </c>
      <c r="Y2163" s="263"/>
      <c r="Z2163" s="263"/>
      <c r="AB2163" s="265" t="str">
        <f t="shared" si="305"/>
        <v/>
      </c>
    </row>
    <row r="2164" spans="1:28" s="264" customFormat="1" ht="20.399999999999999">
      <c r="A2164" s="207"/>
      <c r="B2164" s="208"/>
      <c r="C2164" s="212"/>
      <c r="D2164" s="270"/>
      <c r="E2164" s="208"/>
      <c r="F2164" s="208"/>
      <c r="G2164" s="208"/>
      <c r="H2164" s="209"/>
      <c r="I2164" s="210"/>
      <c r="J2164" s="210"/>
      <c r="K2164" s="260"/>
      <c r="L2164" s="260"/>
      <c r="M2164" s="260"/>
      <c r="N2164" s="260"/>
      <c r="O2164" s="260"/>
      <c r="P2164" s="211"/>
      <c r="Q2164" s="261"/>
      <c r="R2164" s="208" t="str">
        <f ca="1">IF(ISERROR($V2164),"",OFFSET('Smelter Look-up'!$C$4,$V2164-4,0)&amp;"")</f>
        <v/>
      </c>
      <c r="S2164" s="215" t="str">
        <f t="shared" ca="1" si="303"/>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si="304"/>
        <v>0</v>
      </c>
      <c r="Y2164" s="263"/>
      <c r="Z2164" s="263"/>
      <c r="AB2164" s="265" t="str">
        <f t="shared" si="305"/>
        <v/>
      </c>
    </row>
    <row r="2165" spans="1:28" s="264" customFormat="1" ht="20.399999999999999">
      <c r="A2165" s="207"/>
      <c r="B2165" s="208"/>
      <c r="C2165" s="212"/>
      <c r="D2165" s="270"/>
      <c r="E2165" s="208"/>
      <c r="F2165" s="208"/>
      <c r="G2165" s="208"/>
      <c r="H2165" s="209"/>
      <c r="I2165" s="210"/>
      <c r="J2165" s="210"/>
      <c r="K2165" s="260"/>
      <c r="L2165" s="260"/>
      <c r="M2165" s="260"/>
      <c r="N2165" s="260"/>
      <c r="O2165" s="260"/>
      <c r="P2165" s="211"/>
      <c r="Q2165" s="261"/>
      <c r="R2165" s="208" t="str">
        <f ca="1">IF(ISERROR($V2165),"",OFFSET('Smelter Look-up'!$C$4,$V2165-4,0)&amp;"")</f>
        <v/>
      </c>
      <c r="S2165" s="215" t="str">
        <f t="shared" ca="1" si="303"/>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si="304"/>
        <v>0</v>
      </c>
      <c r="Y2165" s="263"/>
      <c r="Z2165" s="263"/>
      <c r="AB2165" s="265" t="str">
        <f t="shared" si="305"/>
        <v/>
      </c>
    </row>
    <row r="2166" spans="1:28" s="264" customFormat="1" ht="20.399999999999999">
      <c r="A2166" s="207"/>
      <c r="B2166" s="208"/>
      <c r="C2166" s="212"/>
      <c r="D2166" s="270"/>
      <c r="E2166" s="208"/>
      <c r="F2166" s="208"/>
      <c r="G2166" s="208"/>
      <c r="H2166" s="209"/>
      <c r="I2166" s="210"/>
      <c r="J2166" s="210"/>
      <c r="K2166" s="260"/>
      <c r="L2166" s="260"/>
      <c r="M2166" s="260"/>
      <c r="N2166" s="260"/>
      <c r="O2166" s="260"/>
      <c r="P2166" s="211"/>
      <c r="Q2166" s="261"/>
      <c r="R2166" s="208" t="str">
        <f ca="1">IF(ISERROR($V2166),"",OFFSET('Smelter Look-up'!$C$4,$V2166-4,0)&amp;"")</f>
        <v/>
      </c>
      <c r="S2166" s="215" t="str">
        <f t="shared" ca="1" si="303"/>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si="304"/>
        <v>0</v>
      </c>
      <c r="Y2166" s="263"/>
      <c r="Z2166" s="263"/>
      <c r="AB2166" s="265" t="str">
        <f t="shared" si="305"/>
        <v/>
      </c>
    </row>
    <row r="2167" spans="1:28" s="264" customFormat="1" ht="20.399999999999999">
      <c r="A2167" s="207"/>
      <c r="B2167" s="208"/>
      <c r="C2167" s="212"/>
      <c r="D2167" s="270"/>
      <c r="E2167" s="208"/>
      <c r="F2167" s="208"/>
      <c r="G2167" s="208"/>
      <c r="H2167" s="209"/>
      <c r="I2167" s="210"/>
      <c r="J2167" s="210"/>
      <c r="K2167" s="260"/>
      <c r="L2167" s="260"/>
      <c r="M2167" s="260"/>
      <c r="N2167" s="260"/>
      <c r="O2167" s="260"/>
      <c r="P2167" s="211"/>
      <c r="Q2167" s="261"/>
      <c r="R2167" s="208" t="str">
        <f ca="1">IF(ISERROR($V2167),"",OFFSET('Smelter Look-up'!$C$4,$V2167-4,0)&amp;"")</f>
        <v/>
      </c>
      <c r="S2167" s="215" t="str">
        <f t="shared" ca="1" si="303"/>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si="304"/>
        <v>0</v>
      </c>
      <c r="Y2167" s="263"/>
      <c r="Z2167" s="263"/>
      <c r="AB2167" s="265" t="str">
        <f t="shared" si="305"/>
        <v/>
      </c>
    </row>
    <row r="2168" spans="1:28" s="264" customFormat="1" ht="20.399999999999999">
      <c r="A2168" s="207"/>
      <c r="B2168" s="208"/>
      <c r="C2168" s="212"/>
      <c r="D2168" s="270"/>
      <c r="E2168" s="208"/>
      <c r="F2168" s="208"/>
      <c r="G2168" s="208"/>
      <c r="H2168" s="209"/>
      <c r="I2168" s="210"/>
      <c r="J2168" s="210"/>
      <c r="K2168" s="260"/>
      <c r="L2168" s="260"/>
      <c r="M2168" s="260"/>
      <c r="N2168" s="260"/>
      <c r="O2168" s="260"/>
      <c r="P2168" s="211"/>
      <c r="Q2168" s="261"/>
      <c r="R2168" s="208" t="str">
        <f ca="1">IF(ISERROR($V2168),"",OFFSET('Smelter Look-up'!$C$4,$V2168-4,0)&amp;"")</f>
        <v/>
      </c>
      <c r="S2168" s="215" t="str">
        <f t="shared" ca="1" si="303"/>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si="304"/>
        <v>0</v>
      </c>
      <c r="Y2168" s="263"/>
      <c r="Z2168" s="263"/>
      <c r="AB2168" s="265" t="str">
        <f t="shared" si="305"/>
        <v/>
      </c>
    </row>
    <row r="2169" spans="1:28" s="264" customFormat="1" ht="20.399999999999999">
      <c r="A2169" s="207"/>
      <c r="B2169" s="208"/>
      <c r="C2169" s="212"/>
      <c r="D2169" s="270"/>
      <c r="E2169" s="208"/>
      <c r="F2169" s="208"/>
      <c r="G2169" s="208"/>
      <c r="H2169" s="209"/>
      <c r="I2169" s="210"/>
      <c r="J2169" s="210"/>
      <c r="K2169" s="260"/>
      <c r="L2169" s="260"/>
      <c r="M2169" s="260"/>
      <c r="N2169" s="260"/>
      <c r="O2169" s="260"/>
      <c r="P2169" s="211"/>
      <c r="Q2169" s="261"/>
      <c r="R2169" s="208" t="str">
        <f ca="1">IF(ISERROR($V2169),"",OFFSET('Smelter Look-up'!$C$4,$V2169-4,0)&amp;"")</f>
        <v/>
      </c>
      <c r="S2169" s="215" t="str">
        <f t="shared" ca="1" si="303"/>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si="304"/>
        <v>0</v>
      </c>
      <c r="Y2169" s="263"/>
      <c r="Z2169" s="263"/>
      <c r="AB2169" s="265" t="str">
        <f t="shared" si="305"/>
        <v/>
      </c>
    </row>
    <row r="2170" spans="1:28" s="264" customFormat="1" ht="20.399999999999999">
      <c r="A2170" s="207"/>
      <c r="B2170" s="208"/>
      <c r="C2170" s="212"/>
      <c r="D2170" s="270"/>
      <c r="E2170" s="208"/>
      <c r="F2170" s="208"/>
      <c r="G2170" s="208"/>
      <c r="H2170" s="209"/>
      <c r="I2170" s="210"/>
      <c r="J2170" s="210"/>
      <c r="K2170" s="260"/>
      <c r="L2170" s="260"/>
      <c r="M2170" s="260"/>
      <c r="N2170" s="260"/>
      <c r="O2170" s="260"/>
      <c r="P2170" s="211"/>
      <c r="Q2170" s="261"/>
      <c r="R2170" s="208" t="str">
        <f ca="1">IF(ISERROR($V2170),"",OFFSET('Smelter Look-up'!$C$4,$V2170-4,0)&amp;"")</f>
        <v/>
      </c>
      <c r="S2170" s="215" t="str">
        <f t="shared" ca="1" si="303"/>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si="304"/>
        <v>0</v>
      </c>
      <c r="Y2170" s="263"/>
      <c r="Z2170" s="263"/>
      <c r="AB2170" s="265" t="str">
        <f t="shared" si="305"/>
        <v/>
      </c>
    </row>
    <row r="2171" spans="1:28" s="264" customFormat="1" ht="20.399999999999999">
      <c r="A2171" s="207"/>
      <c r="B2171" s="208"/>
      <c r="C2171" s="212"/>
      <c r="D2171" s="270"/>
      <c r="E2171" s="208"/>
      <c r="F2171" s="208"/>
      <c r="G2171" s="208"/>
      <c r="H2171" s="209"/>
      <c r="I2171" s="210"/>
      <c r="J2171" s="210"/>
      <c r="K2171" s="260"/>
      <c r="L2171" s="260"/>
      <c r="M2171" s="260"/>
      <c r="N2171" s="260"/>
      <c r="O2171" s="260"/>
      <c r="P2171" s="211"/>
      <c r="Q2171" s="261"/>
      <c r="R2171" s="208" t="str">
        <f ca="1">IF(ISERROR($V2171),"",OFFSET('Smelter Look-up'!$C$4,$V2171-4,0)&amp;"")</f>
        <v/>
      </c>
      <c r="S2171" s="215" t="str">
        <f t="shared" ref="S2171" ca="1" si="306">IF(B2171="","",IF(ISERROR(MATCH($E2171,CL,0)),"Unknown",INDIRECT("'C'!$A$"&amp;MATCH($E2171,CL,0)+1)))</f>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t="shared" ref="X2171" si="307">IF(AND(C2171="Smelter not listed",OR(LEN(D2171)=0,LEN(E2171)=0)),1,0)</f>
        <v>0</v>
      </c>
      <c r="Y2171" s="263"/>
      <c r="Z2171" s="263"/>
      <c r="AB2171" s="265" t="str">
        <f t="shared" ref="AB2171" si="308">B2171&amp;C2171</f>
        <v/>
      </c>
    </row>
    <row r="2172" spans="1:28" s="264" customFormat="1" ht="20.399999999999999">
      <c r="A2172" s="207"/>
      <c r="B2172" s="208"/>
      <c r="C2172" s="212"/>
      <c r="D2172" s="270"/>
      <c r="E2172" s="208"/>
      <c r="F2172" s="208"/>
      <c r="G2172" s="208"/>
      <c r="H2172" s="209"/>
      <c r="I2172" s="210"/>
      <c r="J2172" s="210"/>
      <c r="K2172" s="260"/>
      <c r="L2172" s="260"/>
      <c r="M2172" s="260"/>
      <c r="N2172" s="260"/>
      <c r="O2172" s="260"/>
      <c r="P2172" s="211"/>
      <c r="Q2172" s="261"/>
      <c r="R2172" s="208" t="str">
        <f ca="1">IF(ISERROR($V2172),"",OFFSET('Smelter Look-up'!$C$4,$V2172-4,0)&amp;"")</f>
        <v/>
      </c>
      <c r="S2172" s="215" t="str">
        <f t="shared" ref="S2172:S2203" ca="1" si="309">IF(B2172="","",IF(ISERROR(MATCH($E2172,CL,0)),"Unknown",INDIRECT("'C'!$A$"&amp;MATCH($E2172,CL,0)+1)))</f>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ref="X2172:X2203" si="310">IF(AND(C2172="Smelter not listed",OR(LEN(D2172)=0,LEN(E2172)=0)),1,0)</f>
        <v>0</v>
      </c>
      <c r="Y2172" s="263"/>
      <c r="Z2172" s="263"/>
      <c r="AB2172" s="265" t="str">
        <f t="shared" ref="AB2172:AB2203" si="311">B2172&amp;C2172</f>
        <v/>
      </c>
    </row>
    <row r="2173" spans="1:28" s="264" customFormat="1" ht="20.399999999999999">
      <c r="A2173" s="207"/>
      <c r="B2173" s="208"/>
      <c r="C2173" s="212"/>
      <c r="D2173" s="270"/>
      <c r="E2173" s="208"/>
      <c r="F2173" s="208"/>
      <c r="G2173" s="208"/>
      <c r="H2173" s="209"/>
      <c r="I2173" s="210"/>
      <c r="J2173" s="210"/>
      <c r="K2173" s="260"/>
      <c r="L2173" s="260"/>
      <c r="M2173" s="260"/>
      <c r="N2173" s="260"/>
      <c r="O2173" s="260"/>
      <c r="P2173" s="211"/>
      <c r="Q2173" s="261"/>
      <c r="R2173" s="208" t="str">
        <f ca="1">IF(ISERROR($V2173),"",OFFSET('Smelter Look-up'!$C$4,$V2173-4,0)&amp;"")</f>
        <v/>
      </c>
      <c r="S2173" s="215" t="str">
        <f t="shared" ca="1" si="309"/>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si="310"/>
        <v>0</v>
      </c>
      <c r="Y2173" s="263"/>
      <c r="Z2173" s="263"/>
      <c r="AB2173" s="265" t="str">
        <f t="shared" si="311"/>
        <v/>
      </c>
    </row>
    <row r="2174" spans="1:28" s="264" customFormat="1" ht="20.399999999999999">
      <c r="A2174" s="207"/>
      <c r="B2174" s="208"/>
      <c r="C2174" s="212"/>
      <c r="D2174" s="270"/>
      <c r="E2174" s="208"/>
      <c r="F2174" s="208"/>
      <c r="G2174" s="208"/>
      <c r="H2174" s="209"/>
      <c r="I2174" s="210"/>
      <c r="J2174" s="210"/>
      <c r="K2174" s="260"/>
      <c r="L2174" s="260"/>
      <c r="M2174" s="260"/>
      <c r="N2174" s="260"/>
      <c r="O2174" s="260"/>
      <c r="P2174" s="211"/>
      <c r="Q2174" s="261"/>
      <c r="R2174" s="208" t="str">
        <f ca="1">IF(ISERROR($V2174),"",OFFSET('Smelter Look-up'!$C$4,$V2174-4,0)&amp;"")</f>
        <v/>
      </c>
      <c r="S2174" s="215" t="str">
        <f t="shared" ca="1" si="309"/>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si="310"/>
        <v>0</v>
      </c>
      <c r="Y2174" s="263"/>
      <c r="Z2174" s="263"/>
      <c r="AB2174" s="265" t="str">
        <f t="shared" si="311"/>
        <v/>
      </c>
    </row>
    <row r="2175" spans="1:28" s="264" customFormat="1" ht="20.399999999999999">
      <c r="A2175" s="207"/>
      <c r="B2175" s="208"/>
      <c r="C2175" s="212"/>
      <c r="D2175" s="270"/>
      <c r="E2175" s="208"/>
      <c r="F2175" s="208"/>
      <c r="G2175" s="208"/>
      <c r="H2175" s="209"/>
      <c r="I2175" s="210"/>
      <c r="J2175" s="210"/>
      <c r="K2175" s="260"/>
      <c r="L2175" s="260"/>
      <c r="M2175" s="260"/>
      <c r="N2175" s="260"/>
      <c r="O2175" s="260"/>
      <c r="P2175" s="211"/>
      <c r="Q2175" s="261"/>
      <c r="R2175" s="208" t="str">
        <f ca="1">IF(ISERROR($V2175),"",OFFSET('Smelter Look-up'!$C$4,$V2175-4,0)&amp;"")</f>
        <v/>
      </c>
      <c r="S2175" s="215" t="str">
        <f t="shared" ca="1" si="309"/>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si="310"/>
        <v>0</v>
      </c>
      <c r="Y2175" s="263"/>
      <c r="Z2175" s="263"/>
      <c r="AB2175" s="265" t="str">
        <f t="shared" si="311"/>
        <v/>
      </c>
    </row>
    <row r="2176" spans="1:28" s="264" customFormat="1" ht="20.399999999999999">
      <c r="A2176" s="207"/>
      <c r="B2176" s="208"/>
      <c r="C2176" s="212"/>
      <c r="D2176" s="270"/>
      <c r="E2176" s="208"/>
      <c r="F2176" s="208"/>
      <c r="G2176" s="208"/>
      <c r="H2176" s="209"/>
      <c r="I2176" s="210"/>
      <c r="J2176" s="210"/>
      <c r="K2176" s="260"/>
      <c r="L2176" s="260"/>
      <c r="M2176" s="260"/>
      <c r="N2176" s="260"/>
      <c r="O2176" s="260"/>
      <c r="P2176" s="211"/>
      <c r="Q2176" s="261"/>
      <c r="R2176" s="208" t="str">
        <f ca="1">IF(ISERROR($V2176),"",OFFSET('Smelter Look-up'!$C$4,$V2176-4,0)&amp;"")</f>
        <v/>
      </c>
      <c r="S2176" s="215" t="str">
        <f t="shared" ca="1" si="309"/>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si="310"/>
        <v>0</v>
      </c>
      <c r="Y2176" s="263"/>
      <c r="Z2176" s="263"/>
      <c r="AB2176" s="265" t="str">
        <f t="shared" si="311"/>
        <v/>
      </c>
    </row>
    <row r="2177" spans="1:28" s="264" customFormat="1" ht="20.399999999999999">
      <c r="A2177" s="207"/>
      <c r="B2177" s="208"/>
      <c r="C2177" s="212"/>
      <c r="D2177" s="270"/>
      <c r="E2177" s="208"/>
      <c r="F2177" s="208"/>
      <c r="G2177" s="208"/>
      <c r="H2177" s="209"/>
      <c r="I2177" s="210"/>
      <c r="J2177" s="210"/>
      <c r="K2177" s="260"/>
      <c r="L2177" s="260"/>
      <c r="M2177" s="260"/>
      <c r="N2177" s="260"/>
      <c r="O2177" s="260"/>
      <c r="P2177" s="211"/>
      <c r="Q2177" s="261"/>
      <c r="R2177" s="208" t="str">
        <f ca="1">IF(ISERROR($V2177),"",OFFSET('Smelter Look-up'!$C$4,$V2177-4,0)&amp;"")</f>
        <v/>
      </c>
      <c r="S2177" s="215" t="str">
        <f t="shared" ca="1" si="309"/>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si="310"/>
        <v>0</v>
      </c>
      <c r="Y2177" s="263"/>
      <c r="Z2177" s="263"/>
      <c r="AB2177" s="265" t="str">
        <f t="shared" si="311"/>
        <v/>
      </c>
    </row>
    <row r="2178" spans="1:28" s="264" customFormat="1" ht="20.399999999999999">
      <c r="A2178" s="207"/>
      <c r="B2178" s="208"/>
      <c r="C2178" s="212"/>
      <c r="D2178" s="270"/>
      <c r="E2178" s="208"/>
      <c r="F2178" s="208"/>
      <c r="G2178" s="208"/>
      <c r="H2178" s="209"/>
      <c r="I2178" s="210"/>
      <c r="J2178" s="210"/>
      <c r="K2178" s="260"/>
      <c r="L2178" s="260"/>
      <c r="M2178" s="260"/>
      <c r="N2178" s="260"/>
      <c r="O2178" s="260"/>
      <c r="P2178" s="211"/>
      <c r="Q2178" s="261"/>
      <c r="R2178" s="208" t="str">
        <f ca="1">IF(ISERROR($V2178),"",OFFSET('Smelter Look-up'!$C$4,$V2178-4,0)&amp;"")</f>
        <v/>
      </c>
      <c r="S2178" s="215" t="str">
        <f t="shared" ca="1" si="309"/>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si="310"/>
        <v>0</v>
      </c>
      <c r="Y2178" s="263"/>
      <c r="Z2178" s="263"/>
      <c r="AB2178" s="265" t="str">
        <f t="shared" si="311"/>
        <v/>
      </c>
    </row>
    <row r="2179" spans="1:28" s="264" customFormat="1" ht="20.399999999999999">
      <c r="A2179" s="207"/>
      <c r="B2179" s="208"/>
      <c r="C2179" s="212"/>
      <c r="D2179" s="270"/>
      <c r="E2179" s="208"/>
      <c r="F2179" s="208"/>
      <c r="G2179" s="208"/>
      <c r="H2179" s="209"/>
      <c r="I2179" s="210"/>
      <c r="J2179" s="210"/>
      <c r="K2179" s="260"/>
      <c r="L2179" s="260"/>
      <c r="M2179" s="260"/>
      <c r="N2179" s="260"/>
      <c r="O2179" s="260"/>
      <c r="P2179" s="211"/>
      <c r="Q2179" s="261"/>
      <c r="R2179" s="208" t="str">
        <f ca="1">IF(ISERROR($V2179),"",OFFSET('Smelter Look-up'!$C$4,$V2179-4,0)&amp;"")</f>
        <v/>
      </c>
      <c r="S2179" s="215" t="str">
        <f t="shared" ca="1" si="309"/>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si="310"/>
        <v>0</v>
      </c>
      <c r="Y2179" s="263"/>
      <c r="Z2179" s="263"/>
      <c r="AB2179" s="265" t="str">
        <f t="shared" si="311"/>
        <v/>
      </c>
    </row>
    <row r="2180" spans="1:28" s="264" customFormat="1" ht="20.399999999999999">
      <c r="A2180" s="207"/>
      <c r="B2180" s="208"/>
      <c r="C2180" s="212"/>
      <c r="D2180" s="270"/>
      <c r="E2180" s="208"/>
      <c r="F2180" s="208"/>
      <c r="G2180" s="208"/>
      <c r="H2180" s="209"/>
      <c r="I2180" s="210"/>
      <c r="J2180" s="210"/>
      <c r="K2180" s="260"/>
      <c r="L2180" s="260"/>
      <c r="M2180" s="260"/>
      <c r="N2180" s="260"/>
      <c r="O2180" s="260"/>
      <c r="P2180" s="211"/>
      <c r="Q2180" s="261"/>
      <c r="R2180" s="208" t="str">
        <f ca="1">IF(ISERROR($V2180),"",OFFSET('Smelter Look-up'!$C$4,$V2180-4,0)&amp;"")</f>
        <v/>
      </c>
      <c r="S2180" s="215" t="str">
        <f t="shared" ca="1" si="309"/>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si="310"/>
        <v>0</v>
      </c>
      <c r="Y2180" s="263"/>
      <c r="Z2180" s="263"/>
      <c r="AB2180" s="265" t="str">
        <f t="shared" si="311"/>
        <v/>
      </c>
    </row>
    <row r="2181" spans="1:28" s="264" customFormat="1" ht="20.399999999999999">
      <c r="A2181" s="207"/>
      <c r="B2181" s="208"/>
      <c r="C2181" s="212"/>
      <c r="D2181" s="270"/>
      <c r="E2181" s="208"/>
      <c r="F2181" s="208"/>
      <c r="G2181" s="208"/>
      <c r="H2181" s="209"/>
      <c r="I2181" s="210"/>
      <c r="J2181" s="210"/>
      <c r="K2181" s="260"/>
      <c r="L2181" s="260"/>
      <c r="M2181" s="260"/>
      <c r="N2181" s="260"/>
      <c r="O2181" s="260"/>
      <c r="P2181" s="211"/>
      <c r="Q2181" s="261"/>
      <c r="R2181" s="208" t="str">
        <f ca="1">IF(ISERROR($V2181),"",OFFSET('Smelter Look-up'!$C$4,$V2181-4,0)&amp;"")</f>
        <v/>
      </c>
      <c r="S2181" s="215" t="str">
        <f t="shared" ca="1" si="309"/>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si="310"/>
        <v>0</v>
      </c>
      <c r="Y2181" s="263"/>
      <c r="Z2181" s="263"/>
      <c r="AB2181" s="265" t="str">
        <f t="shared" si="311"/>
        <v/>
      </c>
    </row>
    <row r="2182" spans="1:28" s="264" customFormat="1" ht="20.399999999999999">
      <c r="A2182" s="207"/>
      <c r="B2182" s="208"/>
      <c r="C2182" s="212"/>
      <c r="D2182" s="270"/>
      <c r="E2182" s="208"/>
      <c r="F2182" s="208"/>
      <c r="G2182" s="208"/>
      <c r="H2182" s="209"/>
      <c r="I2182" s="210"/>
      <c r="J2182" s="210"/>
      <c r="K2182" s="260"/>
      <c r="L2182" s="260"/>
      <c r="M2182" s="260"/>
      <c r="N2182" s="260"/>
      <c r="O2182" s="260"/>
      <c r="P2182" s="211"/>
      <c r="Q2182" s="261"/>
      <c r="R2182" s="208" t="str">
        <f ca="1">IF(ISERROR($V2182),"",OFFSET('Smelter Look-up'!$C$4,$V2182-4,0)&amp;"")</f>
        <v/>
      </c>
      <c r="S2182" s="215" t="str">
        <f t="shared" ca="1" si="309"/>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si="310"/>
        <v>0</v>
      </c>
      <c r="Y2182" s="263"/>
      <c r="Z2182" s="263"/>
      <c r="AB2182" s="265" t="str">
        <f t="shared" si="311"/>
        <v/>
      </c>
    </row>
    <row r="2183" spans="1:28" s="264" customFormat="1" ht="20.399999999999999">
      <c r="A2183" s="207"/>
      <c r="B2183" s="208"/>
      <c r="C2183" s="212"/>
      <c r="D2183" s="270"/>
      <c r="E2183" s="208"/>
      <c r="F2183" s="208"/>
      <c r="G2183" s="208"/>
      <c r="H2183" s="209"/>
      <c r="I2183" s="210"/>
      <c r="J2183" s="210"/>
      <c r="K2183" s="260"/>
      <c r="L2183" s="260"/>
      <c r="M2183" s="260"/>
      <c r="N2183" s="260"/>
      <c r="O2183" s="260"/>
      <c r="P2183" s="211"/>
      <c r="Q2183" s="261"/>
      <c r="R2183" s="208" t="str">
        <f ca="1">IF(ISERROR($V2183),"",OFFSET('Smelter Look-up'!$C$4,$V2183-4,0)&amp;"")</f>
        <v/>
      </c>
      <c r="S2183" s="215" t="str">
        <f t="shared" ca="1" si="309"/>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si="310"/>
        <v>0</v>
      </c>
      <c r="Y2183" s="263"/>
      <c r="Z2183" s="263"/>
      <c r="AB2183" s="265" t="str">
        <f t="shared" si="311"/>
        <v/>
      </c>
    </row>
    <row r="2184" spans="1:28" s="264" customFormat="1" ht="20.399999999999999">
      <c r="A2184" s="207"/>
      <c r="B2184" s="208"/>
      <c r="C2184" s="212"/>
      <c r="D2184" s="270"/>
      <c r="E2184" s="208"/>
      <c r="F2184" s="208"/>
      <c r="G2184" s="208"/>
      <c r="H2184" s="209"/>
      <c r="I2184" s="210"/>
      <c r="J2184" s="210"/>
      <c r="K2184" s="260"/>
      <c r="L2184" s="260"/>
      <c r="M2184" s="260"/>
      <c r="N2184" s="260"/>
      <c r="O2184" s="260"/>
      <c r="P2184" s="211"/>
      <c r="Q2184" s="261"/>
      <c r="R2184" s="208" t="str">
        <f ca="1">IF(ISERROR($V2184),"",OFFSET('Smelter Look-up'!$C$4,$V2184-4,0)&amp;"")</f>
        <v/>
      </c>
      <c r="S2184" s="215" t="str">
        <f t="shared" ca="1" si="309"/>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si="310"/>
        <v>0</v>
      </c>
      <c r="Y2184" s="263"/>
      <c r="Z2184" s="263"/>
      <c r="AB2184" s="265" t="str">
        <f t="shared" si="311"/>
        <v/>
      </c>
    </row>
    <row r="2185" spans="1:28" s="264" customFormat="1" ht="20.399999999999999">
      <c r="A2185" s="207"/>
      <c r="B2185" s="208"/>
      <c r="C2185" s="212"/>
      <c r="D2185" s="270"/>
      <c r="E2185" s="208"/>
      <c r="F2185" s="208"/>
      <c r="G2185" s="208"/>
      <c r="H2185" s="209"/>
      <c r="I2185" s="210"/>
      <c r="J2185" s="210"/>
      <c r="K2185" s="260"/>
      <c r="L2185" s="260"/>
      <c r="M2185" s="260"/>
      <c r="N2185" s="260"/>
      <c r="O2185" s="260"/>
      <c r="P2185" s="211"/>
      <c r="Q2185" s="261"/>
      <c r="R2185" s="208" t="str">
        <f ca="1">IF(ISERROR($V2185),"",OFFSET('Smelter Look-up'!$C$4,$V2185-4,0)&amp;"")</f>
        <v/>
      </c>
      <c r="S2185" s="215" t="str">
        <f t="shared" ca="1" si="309"/>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si="310"/>
        <v>0</v>
      </c>
      <c r="Y2185" s="263"/>
      <c r="Z2185" s="263"/>
      <c r="AB2185" s="265" t="str">
        <f t="shared" si="311"/>
        <v/>
      </c>
    </row>
    <row r="2186" spans="1:28" s="264" customFormat="1" ht="20.399999999999999">
      <c r="A2186" s="207"/>
      <c r="B2186" s="208"/>
      <c r="C2186" s="212"/>
      <c r="D2186" s="270"/>
      <c r="E2186" s="208"/>
      <c r="F2186" s="208"/>
      <c r="G2186" s="208"/>
      <c r="H2186" s="209"/>
      <c r="I2186" s="210"/>
      <c r="J2186" s="210"/>
      <c r="K2186" s="260"/>
      <c r="L2186" s="260"/>
      <c r="M2186" s="260"/>
      <c r="N2186" s="260"/>
      <c r="O2186" s="260"/>
      <c r="P2186" s="211"/>
      <c r="Q2186" s="261"/>
      <c r="R2186" s="208" t="str">
        <f ca="1">IF(ISERROR($V2186),"",OFFSET('Smelter Look-up'!$C$4,$V2186-4,0)&amp;"")</f>
        <v/>
      </c>
      <c r="S2186" s="215" t="str">
        <f t="shared" ca="1" si="309"/>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si="310"/>
        <v>0</v>
      </c>
      <c r="Y2186" s="263"/>
      <c r="Z2186" s="263"/>
      <c r="AB2186" s="265" t="str">
        <f t="shared" si="311"/>
        <v/>
      </c>
    </row>
    <row r="2187" spans="1:28" s="264" customFormat="1" ht="20.399999999999999">
      <c r="A2187" s="207"/>
      <c r="B2187" s="208"/>
      <c r="C2187" s="212"/>
      <c r="D2187" s="270"/>
      <c r="E2187" s="208"/>
      <c r="F2187" s="208"/>
      <c r="G2187" s="208"/>
      <c r="H2187" s="209"/>
      <c r="I2187" s="210"/>
      <c r="J2187" s="210"/>
      <c r="K2187" s="260"/>
      <c r="L2187" s="260"/>
      <c r="M2187" s="260"/>
      <c r="N2187" s="260"/>
      <c r="O2187" s="260"/>
      <c r="P2187" s="211"/>
      <c r="Q2187" s="261"/>
      <c r="R2187" s="208" t="str">
        <f ca="1">IF(ISERROR($V2187),"",OFFSET('Smelter Look-up'!$C$4,$V2187-4,0)&amp;"")</f>
        <v/>
      </c>
      <c r="S2187" s="215" t="str">
        <f t="shared" ca="1" si="309"/>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si="310"/>
        <v>0</v>
      </c>
      <c r="Y2187" s="263"/>
      <c r="Z2187" s="263"/>
      <c r="AB2187" s="265" t="str">
        <f t="shared" si="311"/>
        <v/>
      </c>
    </row>
    <row r="2188" spans="1:28" s="264" customFormat="1" ht="20.399999999999999">
      <c r="A2188" s="207"/>
      <c r="B2188" s="208"/>
      <c r="C2188" s="212"/>
      <c r="D2188" s="270"/>
      <c r="E2188" s="208"/>
      <c r="F2188" s="208"/>
      <c r="G2188" s="208"/>
      <c r="H2188" s="209"/>
      <c r="I2188" s="210"/>
      <c r="J2188" s="210"/>
      <c r="K2188" s="260"/>
      <c r="L2188" s="260"/>
      <c r="M2188" s="260"/>
      <c r="N2188" s="260"/>
      <c r="O2188" s="260"/>
      <c r="P2188" s="211"/>
      <c r="Q2188" s="261"/>
      <c r="R2188" s="208" t="str">
        <f ca="1">IF(ISERROR($V2188),"",OFFSET('Smelter Look-up'!$C$4,$V2188-4,0)&amp;"")</f>
        <v/>
      </c>
      <c r="S2188" s="215" t="str">
        <f t="shared" ca="1" si="309"/>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si="310"/>
        <v>0</v>
      </c>
      <c r="Y2188" s="263"/>
      <c r="Z2188" s="263"/>
      <c r="AB2188" s="265" t="str">
        <f t="shared" si="311"/>
        <v/>
      </c>
    </row>
    <row r="2189" spans="1:28" s="264" customFormat="1" ht="20.399999999999999">
      <c r="A2189" s="207"/>
      <c r="B2189" s="208"/>
      <c r="C2189" s="212"/>
      <c r="D2189" s="270"/>
      <c r="E2189" s="208"/>
      <c r="F2189" s="208"/>
      <c r="G2189" s="208"/>
      <c r="H2189" s="209"/>
      <c r="I2189" s="210"/>
      <c r="J2189" s="210"/>
      <c r="K2189" s="260"/>
      <c r="L2189" s="260"/>
      <c r="M2189" s="260"/>
      <c r="N2189" s="260"/>
      <c r="O2189" s="260"/>
      <c r="P2189" s="211"/>
      <c r="Q2189" s="261"/>
      <c r="R2189" s="208" t="str">
        <f ca="1">IF(ISERROR($V2189),"",OFFSET('Smelter Look-up'!$C$4,$V2189-4,0)&amp;"")</f>
        <v/>
      </c>
      <c r="S2189" s="215" t="str">
        <f t="shared" ca="1" si="309"/>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si="310"/>
        <v>0</v>
      </c>
      <c r="Y2189" s="263"/>
      <c r="Z2189" s="263"/>
      <c r="AB2189" s="265" t="str">
        <f t="shared" si="311"/>
        <v/>
      </c>
    </row>
    <row r="2190" spans="1:28" s="264" customFormat="1" ht="20.399999999999999">
      <c r="A2190" s="207"/>
      <c r="B2190" s="208"/>
      <c r="C2190" s="212"/>
      <c r="D2190" s="270"/>
      <c r="E2190" s="208"/>
      <c r="F2190" s="208"/>
      <c r="G2190" s="208"/>
      <c r="H2190" s="209"/>
      <c r="I2190" s="210"/>
      <c r="J2190" s="210"/>
      <c r="K2190" s="260"/>
      <c r="L2190" s="260"/>
      <c r="M2190" s="260"/>
      <c r="N2190" s="260"/>
      <c r="O2190" s="260"/>
      <c r="P2190" s="211"/>
      <c r="Q2190" s="261"/>
      <c r="R2190" s="208" t="str">
        <f ca="1">IF(ISERROR($V2190),"",OFFSET('Smelter Look-up'!$C$4,$V2190-4,0)&amp;"")</f>
        <v/>
      </c>
      <c r="S2190" s="215" t="str">
        <f t="shared" ca="1" si="309"/>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si="310"/>
        <v>0</v>
      </c>
      <c r="Y2190" s="263"/>
      <c r="Z2190" s="263"/>
      <c r="AB2190" s="265" t="str">
        <f t="shared" si="311"/>
        <v/>
      </c>
    </row>
    <row r="2191" spans="1:28" s="264" customFormat="1" ht="20.399999999999999">
      <c r="A2191" s="207"/>
      <c r="B2191" s="208"/>
      <c r="C2191" s="212"/>
      <c r="D2191" s="270"/>
      <c r="E2191" s="208"/>
      <c r="F2191" s="208"/>
      <c r="G2191" s="208"/>
      <c r="H2191" s="209"/>
      <c r="I2191" s="210"/>
      <c r="J2191" s="210"/>
      <c r="K2191" s="260"/>
      <c r="L2191" s="260"/>
      <c r="M2191" s="260"/>
      <c r="N2191" s="260"/>
      <c r="O2191" s="260"/>
      <c r="P2191" s="211"/>
      <c r="Q2191" s="261"/>
      <c r="R2191" s="208" t="str">
        <f ca="1">IF(ISERROR($V2191),"",OFFSET('Smelter Look-up'!$C$4,$V2191-4,0)&amp;"")</f>
        <v/>
      </c>
      <c r="S2191" s="215" t="str">
        <f t="shared" ca="1" si="309"/>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si="310"/>
        <v>0</v>
      </c>
      <c r="Y2191" s="263"/>
      <c r="Z2191" s="263"/>
      <c r="AB2191" s="265" t="str">
        <f t="shared" si="311"/>
        <v/>
      </c>
    </row>
    <row r="2192" spans="1:28" s="264" customFormat="1" ht="20.399999999999999">
      <c r="A2192" s="207"/>
      <c r="B2192" s="208"/>
      <c r="C2192" s="212"/>
      <c r="D2192" s="270"/>
      <c r="E2192" s="208"/>
      <c r="F2192" s="208"/>
      <c r="G2192" s="208"/>
      <c r="H2192" s="209"/>
      <c r="I2192" s="210"/>
      <c r="J2192" s="210"/>
      <c r="K2192" s="260"/>
      <c r="L2192" s="260"/>
      <c r="M2192" s="260"/>
      <c r="N2192" s="260"/>
      <c r="O2192" s="260"/>
      <c r="P2192" s="211"/>
      <c r="Q2192" s="261"/>
      <c r="R2192" s="208" t="str">
        <f ca="1">IF(ISERROR($V2192),"",OFFSET('Smelter Look-up'!$C$4,$V2192-4,0)&amp;"")</f>
        <v/>
      </c>
      <c r="S2192" s="215" t="str">
        <f t="shared" ca="1" si="309"/>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si="310"/>
        <v>0</v>
      </c>
      <c r="Y2192" s="263"/>
      <c r="Z2192" s="263"/>
      <c r="AB2192" s="265" t="str">
        <f t="shared" si="311"/>
        <v/>
      </c>
    </row>
    <row r="2193" spans="1:28" s="264" customFormat="1" ht="20.399999999999999">
      <c r="A2193" s="207"/>
      <c r="B2193" s="208"/>
      <c r="C2193" s="212"/>
      <c r="D2193" s="270"/>
      <c r="E2193" s="208"/>
      <c r="F2193" s="208"/>
      <c r="G2193" s="208"/>
      <c r="H2193" s="209"/>
      <c r="I2193" s="210"/>
      <c r="J2193" s="210"/>
      <c r="K2193" s="260"/>
      <c r="L2193" s="260"/>
      <c r="M2193" s="260"/>
      <c r="N2193" s="260"/>
      <c r="O2193" s="260"/>
      <c r="P2193" s="211"/>
      <c r="Q2193" s="261"/>
      <c r="R2193" s="208" t="str">
        <f ca="1">IF(ISERROR($V2193),"",OFFSET('Smelter Look-up'!$C$4,$V2193-4,0)&amp;"")</f>
        <v/>
      </c>
      <c r="S2193" s="215" t="str">
        <f t="shared" ca="1" si="309"/>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si="310"/>
        <v>0</v>
      </c>
      <c r="Y2193" s="263"/>
      <c r="Z2193" s="263"/>
      <c r="AB2193" s="265" t="str">
        <f t="shared" si="311"/>
        <v/>
      </c>
    </row>
    <row r="2194" spans="1:28" s="264" customFormat="1" ht="20.399999999999999">
      <c r="A2194" s="207"/>
      <c r="B2194" s="208"/>
      <c r="C2194" s="212"/>
      <c r="D2194" s="270"/>
      <c r="E2194" s="208"/>
      <c r="F2194" s="208"/>
      <c r="G2194" s="208"/>
      <c r="H2194" s="209"/>
      <c r="I2194" s="210"/>
      <c r="J2194" s="210"/>
      <c r="K2194" s="260"/>
      <c r="L2194" s="260"/>
      <c r="M2194" s="260"/>
      <c r="N2194" s="260"/>
      <c r="O2194" s="260"/>
      <c r="P2194" s="211"/>
      <c r="Q2194" s="261"/>
      <c r="R2194" s="208" t="str">
        <f ca="1">IF(ISERROR($V2194),"",OFFSET('Smelter Look-up'!$C$4,$V2194-4,0)&amp;"")</f>
        <v/>
      </c>
      <c r="S2194" s="215" t="str">
        <f t="shared" ca="1" si="309"/>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si="310"/>
        <v>0</v>
      </c>
      <c r="Y2194" s="263"/>
      <c r="Z2194" s="263"/>
      <c r="AB2194" s="265" t="str">
        <f t="shared" si="311"/>
        <v/>
      </c>
    </row>
    <row r="2195" spans="1:28" s="264" customFormat="1" ht="20.399999999999999">
      <c r="A2195" s="207"/>
      <c r="B2195" s="208"/>
      <c r="C2195" s="212"/>
      <c r="D2195" s="270"/>
      <c r="E2195" s="208"/>
      <c r="F2195" s="208"/>
      <c r="G2195" s="208"/>
      <c r="H2195" s="209"/>
      <c r="I2195" s="210"/>
      <c r="J2195" s="210"/>
      <c r="K2195" s="260"/>
      <c r="L2195" s="260"/>
      <c r="M2195" s="260"/>
      <c r="N2195" s="260"/>
      <c r="O2195" s="260"/>
      <c r="P2195" s="211"/>
      <c r="Q2195" s="261"/>
      <c r="R2195" s="208" t="str">
        <f ca="1">IF(ISERROR($V2195),"",OFFSET('Smelter Look-up'!$C$4,$V2195-4,0)&amp;"")</f>
        <v/>
      </c>
      <c r="S2195" s="215" t="str">
        <f t="shared" ca="1" si="309"/>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si="310"/>
        <v>0</v>
      </c>
      <c r="Y2195" s="263"/>
      <c r="Z2195" s="263"/>
      <c r="AB2195" s="265" t="str">
        <f t="shared" si="311"/>
        <v/>
      </c>
    </row>
    <row r="2196" spans="1:28" s="264" customFormat="1" ht="20.399999999999999">
      <c r="A2196" s="207"/>
      <c r="B2196" s="208"/>
      <c r="C2196" s="212"/>
      <c r="D2196" s="270"/>
      <c r="E2196" s="208"/>
      <c r="F2196" s="208"/>
      <c r="G2196" s="208"/>
      <c r="H2196" s="209"/>
      <c r="I2196" s="210"/>
      <c r="J2196" s="210"/>
      <c r="K2196" s="260"/>
      <c r="L2196" s="260"/>
      <c r="M2196" s="260"/>
      <c r="N2196" s="260"/>
      <c r="O2196" s="260"/>
      <c r="P2196" s="211"/>
      <c r="Q2196" s="261"/>
      <c r="R2196" s="208" t="str">
        <f ca="1">IF(ISERROR($V2196),"",OFFSET('Smelter Look-up'!$C$4,$V2196-4,0)&amp;"")</f>
        <v/>
      </c>
      <c r="S2196" s="215" t="str">
        <f t="shared" ca="1" si="309"/>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si="310"/>
        <v>0</v>
      </c>
      <c r="Y2196" s="263"/>
      <c r="Z2196" s="263"/>
      <c r="AB2196" s="265" t="str">
        <f t="shared" si="311"/>
        <v/>
      </c>
    </row>
    <row r="2197" spans="1:28" s="264" customFormat="1" ht="20.399999999999999">
      <c r="A2197" s="207"/>
      <c r="B2197" s="208"/>
      <c r="C2197" s="212"/>
      <c r="D2197" s="270"/>
      <c r="E2197" s="208"/>
      <c r="F2197" s="208"/>
      <c r="G2197" s="208"/>
      <c r="H2197" s="209"/>
      <c r="I2197" s="210"/>
      <c r="J2197" s="210"/>
      <c r="K2197" s="260"/>
      <c r="L2197" s="260"/>
      <c r="M2197" s="260"/>
      <c r="N2197" s="260"/>
      <c r="O2197" s="260"/>
      <c r="P2197" s="211"/>
      <c r="Q2197" s="261"/>
      <c r="R2197" s="208" t="str">
        <f ca="1">IF(ISERROR($V2197),"",OFFSET('Smelter Look-up'!$C$4,$V2197-4,0)&amp;"")</f>
        <v/>
      </c>
      <c r="S2197" s="215" t="str">
        <f t="shared" ca="1" si="309"/>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si="310"/>
        <v>0</v>
      </c>
      <c r="Y2197" s="263"/>
      <c r="Z2197" s="263"/>
      <c r="AB2197" s="265" t="str">
        <f t="shared" si="311"/>
        <v/>
      </c>
    </row>
    <row r="2198" spans="1:28" s="264" customFormat="1" ht="20.399999999999999">
      <c r="A2198" s="207"/>
      <c r="B2198" s="208"/>
      <c r="C2198" s="212"/>
      <c r="D2198" s="270"/>
      <c r="E2198" s="208"/>
      <c r="F2198" s="208"/>
      <c r="G2198" s="208"/>
      <c r="H2198" s="209"/>
      <c r="I2198" s="210"/>
      <c r="J2198" s="210"/>
      <c r="K2198" s="260"/>
      <c r="L2198" s="260"/>
      <c r="M2198" s="260"/>
      <c r="N2198" s="260"/>
      <c r="O2198" s="260"/>
      <c r="P2198" s="211"/>
      <c r="Q2198" s="261"/>
      <c r="R2198" s="208" t="str">
        <f ca="1">IF(ISERROR($V2198),"",OFFSET('Smelter Look-up'!$C$4,$V2198-4,0)&amp;"")</f>
        <v/>
      </c>
      <c r="S2198" s="215" t="str">
        <f t="shared" ca="1" si="309"/>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si="310"/>
        <v>0</v>
      </c>
      <c r="Y2198" s="263"/>
      <c r="Z2198" s="263"/>
      <c r="AB2198" s="265" t="str">
        <f t="shared" si="311"/>
        <v/>
      </c>
    </row>
    <row r="2199" spans="1:28" s="264" customFormat="1" ht="20.399999999999999">
      <c r="A2199" s="207"/>
      <c r="B2199" s="208"/>
      <c r="C2199" s="212"/>
      <c r="D2199" s="270"/>
      <c r="E2199" s="208"/>
      <c r="F2199" s="208"/>
      <c r="G2199" s="208"/>
      <c r="H2199" s="209"/>
      <c r="I2199" s="210"/>
      <c r="J2199" s="210"/>
      <c r="K2199" s="260"/>
      <c r="L2199" s="260"/>
      <c r="M2199" s="260"/>
      <c r="N2199" s="260"/>
      <c r="O2199" s="260"/>
      <c r="P2199" s="211"/>
      <c r="Q2199" s="261"/>
      <c r="R2199" s="208" t="str">
        <f ca="1">IF(ISERROR($V2199),"",OFFSET('Smelter Look-up'!$C$4,$V2199-4,0)&amp;"")</f>
        <v/>
      </c>
      <c r="S2199" s="215" t="str">
        <f t="shared" ca="1" si="309"/>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si="310"/>
        <v>0</v>
      </c>
      <c r="Y2199" s="263"/>
      <c r="Z2199" s="263"/>
      <c r="AB2199" s="265" t="str">
        <f t="shared" si="311"/>
        <v/>
      </c>
    </row>
    <row r="2200" spans="1:28" s="264" customFormat="1" ht="20.399999999999999">
      <c r="A2200" s="207"/>
      <c r="B2200" s="208"/>
      <c r="C2200" s="212"/>
      <c r="D2200" s="270"/>
      <c r="E2200" s="208"/>
      <c r="F2200" s="208"/>
      <c r="G2200" s="208"/>
      <c r="H2200" s="209"/>
      <c r="I2200" s="210"/>
      <c r="J2200" s="210"/>
      <c r="K2200" s="260"/>
      <c r="L2200" s="260"/>
      <c r="M2200" s="260"/>
      <c r="N2200" s="260"/>
      <c r="O2200" s="260"/>
      <c r="P2200" s="211"/>
      <c r="Q2200" s="261"/>
      <c r="R2200" s="208" t="str">
        <f ca="1">IF(ISERROR($V2200),"",OFFSET('Smelter Look-up'!$C$4,$V2200-4,0)&amp;"")</f>
        <v/>
      </c>
      <c r="S2200" s="215" t="str">
        <f t="shared" ca="1" si="309"/>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si="310"/>
        <v>0</v>
      </c>
      <c r="Y2200" s="263"/>
      <c r="Z2200" s="263"/>
      <c r="AB2200" s="265" t="str">
        <f t="shared" si="311"/>
        <v/>
      </c>
    </row>
    <row r="2201" spans="1:28" s="264" customFormat="1" ht="20.399999999999999">
      <c r="A2201" s="207"/>
      <c r="B2201" s="208"/>
      <c r="C2201" s="212"/>
      <c r="D2201" s="270"/>
      <c r="E2201" s="208"/>
      <c r="F2201" s="208"/>
      <c r="G2201" s="208"/>
      <c r="H2201" s="209"/>
      <c r="I2201" s="210"/>
      <c r="J2201" s="210"/>
      <c r="K2201" s="260"/>
      <c r="L2201" s="260"/>
      <c r="M2201" s="260"/>
      <c r="N2201" s="260"/>
      <c r="O2201" s="260"/>
      <c r="P2201" s="211"/>
      <c r="Q2201" s="261"/>
      <c r="R2201" s="208" t="str">
        <f ca="1">IF(ISERROR($V2201),"",OFFSET('Smelter Look-up'!$C$4,$V2201-4,0)&amp;"")</f>
        <v/>
      </c>
      <c r="S2201" s="215" t="str">
        <f t="shared" ca="1" si="309"/>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si="310"/>
        <v>0</v>
      </c>
      <c r="Y2201" s="263"/>
      <c r="Z2201" s="263"/>
      <c r="AB2201" s="265" t="str">
        <f t="shared" si="311"/>
        <v/>
      </c>
    </row>
    <row r="2202" spans="1:28" s="264" customFormat="1" ht="20.399999999999999">
      <c r="A2202" s="207"/>
      <c r="B2202" s="208"/>
      <c r="C2202" s="212"/>
      <c r="D2202" s="270"/>
      <c r="E2202" s="208"/>
      <c r="F2202" s="208"/>
      <c r="G2202" s="208"/>
      <c r="H2202" s="209"/>
      <c r="I2202" s="210"/>
      <c r="J2202" s="210"/>
      <c r="K2202" s="260"/>
      <c r="L2202" s="260"/>
      <c r="M2202" s="260"/>
      <c r="N2202" s="260"/>
      <c r="O2202" s="260"/>
      <c r="P2202" s="211"/>
      <c r="Q2202" s="261"/>
      <c r="R2202" s="208" t="str">
        <f ca="1">IF(ISERROR($V2202),"",OFFSET('Smelter Look-up'!$C$4,$V2202-4,0)&amp;"")</f>
        <v/>
      </c>
      <c r="S2202" s="215" t="str">
        <f t="shared" ca="1" si="309"/>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si="310"/>
        <v>0</v>
      </c>
      <c r="Y2202" s="263"/>
      <c r="Z2202" s="263"/>
      <c r="AB2202" s="265" t="str">
        <f t="shared" si="311"/>
        <v/>
      </c>
    </row>
    <row r="2203" spans="1:28" s="264" customFormat="1" ht="20.399999999999999">
      <c r="A2203" s="207"/>
      <c r="B2203" s="208"/>
      <c r="C2203" s="212"/>
      <c r="D2203" s="270"/>
      <c r="E2203" s="208"/>
      <c r="F2203" s="208"/>
      <c r="G2203" s="208"/>
      <c r="H2203" s="209"/>
      <c r="I2203" s="210"/>
      <c r="J2203" s="210"/>
      <c r="K2203" s="260"/>
      <c r="L2203" s="260"/>
      <c r="M2203" s="260"/>
      <c r="N2203" s="260"/>
      <c r="O2203" s="260"/>
      <c r="P2203" s="211"/>
      <c r="Q2203" s="261"/>
      <c r="R2203" s="208" t="str">
        <f ca="1">IF(ISERROR($V2203),"",OFFSET('Smelter Look-up'!$C$4,$V2203-4,0)&amp;"")</f>
        <v/>
      </c>
      <c r="S2203" s="215" t="str">
        <f t="shared" ca="1" si="309"/>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si="310"/>
        <v>0</v>
      </c>
      <c r="Y2203" s="263"/>
      <c r="Z2203" s="263"/>
      <c r="AB2203" s="265" t="str">
        <f t="shared" si="311"/>
        <v/>
      </c>
    </row>
    <row r="2204" spans="1:28" s="264" customFormat="1" ht="20.399999999999999">
      <c r="A2204" s="207"/>
      <c r="B2204" s="208"/>
      <c r="C2204" s="212"/>
      <c r="D2204" s="270"/>
      <c r="E2204" s="208"/>
      <c r="F2204" s="208"/>
      <c r="G2204" s="208"/>
      <c r="H2204" s="209"/>
      <c r="I2204" s="210"/>
      <c r="J2204" s="210"/>
      <c r="K2204" s="260"/>
      <c r="L2204" s="260"/>
      <c r="M2204" s="260"/>
      <c r="N2204" s="260"/>
      <c r="O2204" s="260"/>
      <c r="P2204" s="211"/>
      <c r="Q2204" s="261"/>
      <c r="R2204" s="208" t="str">
        <f ca="1">IF(ISERROR($V2204),"",OFFSET('Smelter Look-up'!$C$4,$V2204-4,0)&amp;"")</f>
        <v/>
      </c>
      <c r="S2204" s="215" t="str">
        <f t="shared" ref="S2204:S2234" ca="1" si="312">IF(B2204="","",IF(ISERROR(MATCH($E2204,CL,0)),"Unknown",INDIRECT("'C'!$A$"&amp;MATCH($E2204,CL,0)+1)))</f>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ref="X2204:X2234" si="313">IF(AND(C2204="Smelter not listed",OR(LEN(D2204)=0,LEN(E2204)=0)),1,0)</f>
        <v>0</v>
      </c>
      <c r="Y2204" s="263"/>
      <c r="Z2204" s="263"/>
      <c r="AB2204" s="265" t="str">
        <f t="shared" ref="AB2204:AB2234" si="314">B2204&amp;C2204</f>
        <v/>
      </c>
    </row>
    <row r="2205" spans="1:28" s="264" customFormat="1" ht="20.399999999999999">
      <c r="A2205" s="207"/>
      <c r="B2205" s="208"/>
      <c r="C2205" s="212"/>
      <c r="D2205" s="270"/>
      <c r="E2205" s="208"/>
      <c r="F2205" s="208"/>
      <c r="G2205" s="208"/>
      <c r="H2205" s="209"/>
      <c r="I2205" s="210"/>
      <c r="J2205" s="210"/>
      <c r="K2205" s="260"/>
      <c r="L2205" s="260"/>
      <c r="M2205" s="260"/>
      <c r="N2205" s="260"/>
      <c r="O2205" s="260"/>
      <c r="P2205" s="211"/>
      <c r="Q2205" s="261"/>
      <c r="R2205" s="208" t="str">
        <f ca="1">IF(ISERROR($V2205),"",OFFSET('Smelter Look-up'!$C$4,$V2205-4,0)&amp;"")</f>
        <v/>
      </c>
      <c r="S2205" s="215" t="str">
        <f t="shared" ca="1" si="312"/>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si="313"/>
        <v>0</v>
      </c>
      <c r="Y2205" s="263"/>
      <c r="Z2205" s="263"/>
      <c r="AB2205" s="265" t="str">
        <f t="shared" si="314"/>
        <v/>
      </c>
    </row>
    <row r="2206" spans="1:28" s="264" customFormat="1" ht="20.399999999999999">
      <c r="A2206" s="207"/>
      <c r="B2206" s="208"/>
      <c r="C2206" s="212"/>
      <c r="D2206" s="270"/>
      <c r="E2206" s="208"/>
      <c r="F2206" s="208"/>
      <c r="G2206" s="208"/>
      <c r="H2206" s="209"/>
      <c r="I2206" s="210"/>
      <c r="J2206" s="210"/>
      <c r="K2206" s="260"/>
      <c r="L2206" s="260"/>
      <c r="M2206" s="260"/>
      <c r="N2206" s="260"/>
      <c r="O2206" s="260"/>
      <c r="P2206" s="211"/>
      <c r="Q2206" s="261"/>
      <c r="R2206" s="208" t="str">
        <f ca="1">IF(ISERROR($V2206),"",OFFSET('Smelter Look-up'!$C$4,$V2206-4,0)&amp;"")</f>
        <v/>
      </c>
      <c r="S2206" s="215" t="str">
        <f t="shared" ca="1" si="312"/>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si="313"/>
        <v>0</v>
      </c>
      <c r="Y2206" s="263"/>
      <c r="Z2206" s="263"/>
      <c r="AB2206" s="265" t="str">
        <f t="shared" si="314"/>
        <v/>
      </c>
    </row>
    <row r="2207" spans="1:28" s="264" customFormat="1" ht="20.399999999999999">
      <c r="A2207" s="207"/>
      <c r="B2207" s="208"/>
      <c r="C2207" s="212"/>
      <c r="D2207" s="270"/>
      <c r="E2207" s="208"/>
      <c r="F2207" s="208"/>
      <c r="G2207" s="208"/>
      <c r="H2207" s="209"/>
      <c r="I2207" s="210"/>
      <c r="J2207" s="210"/>
      <c r="K2207" s="260"/>
      <c r="L2207" s="260"/>
      <c r="M2207" s="260"/>
      <c r="N2207" s="260"/>
      <c r="O2207" s="260"/>
      <c r="P2207" s="211"/>
      <c r="Q2207" s="261"/>
      <c r="R2207" s="208" t="str">
        <f ca="1">IF(ISERROR($V2207),"",OFFSET('Smelter Look-up'!$C$4,$V2207-4,0)&amp;"")</f>
        <v/>
      </c>
      <c r="S2207" s="215" t="str">
        <f t="shared" ca="1" si="312"/>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si="313"/>
        <v>0</v>
      </c>
      <c r="Y2207" s="263"/>
      <c r="Z2207" s="263"/>
      <c r="AB2207" s="265" t="str">
        <f t="shared" si="314"/>
        <v/>
      </c>
    </row>
    <row r="2208" spans="1:28" s="264" customFormat="1" ht="20.399999999999999">
      <c r="A2208" s="207"/>
      <c r="B2208" s="208"/>
      <c r="C2208" s="212"/>
      <c r="D2208" s="270"/>
      <c r="E2208" s="208"/>
      <c r="F2208" s="208"/>
      <c r="G2208" s="208"/>
      <c r="H2208" s="209"/>
      <c r="I2208" s="210"/>
      <c r="J2208" s="210"/>
      <c r="K2208" s="260"/>
      <c r="L2208" s="260"/>
      <c r="M2208" s="260"/>
      <c r="N2208" s="260"/>
      <c r="O2208" s="260"/>
      <c r="P2208" s="211"/>
      <c r="Q2208" s="261"/>
      <c r="R2208" s="208" t="str">
        <f ca="1">IF(ISERROR($V2208),"",OFFSET('Smelter Look-up'!$C$4,$V2208-4,0)&amp;"")</f>
        <v/>
      </c>
      <c r="S2208" s="215" t="str">
        <f t="shared" ca="1" si="312"/>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si="313"/>
        <v>0</v>
      </c>
      <c r="Y2208" s="263"/>
      <c r="Z2208" s="263"/>
      <c r="AB2208" s="265" t="str">
        <f t="shared" si="314"/>
        <v/>
      </c>
    </row>
    <row r="2209" spans="1:28" s="264" customFormat="1" ht="20.399999999999999">
      <c r="A2209" s="207"/>
      <c r="B2209" s="208"/>
      <c r="C2209" s="212"/>
      <c r="D2209" s="270"/>
      <c r="E2209" s="208"/>
      <c r="F2209" s="208"/>
      <c r="G2209" s="208"/>
      <c r="H2209" s="209"/>
      <c r="I2209" s="210"/>
      <c r="J2209" s="210"/>
      <c r="K2209" s="260"/>
      <c r="L2209" s="260"/>
      <c r="M2209" s="260"/>
      <c r="N2209" s="260"/>
      <c r="O2209" s="260"/>
      <c r="P2209" s="211"/>
      <c r="Q2209" s="261"/>
      <c r="R2209" s="208" t="str">
        <f ca="1">IF(ISERROR($V2209),"",OFFSET('Smelter Look-up'!$C$4,$V2209-4,0)&amp;"")</f>
        <v/>
      </c>
      <c r="S2209" s="215" t="str">
        <f t="shared" ca="1" si="312"/>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si="313"/>
        <v>0</v>
      </c>
      <c r="Y2209" s="263"/>
      <c r="Z2209" s="263"/>
      <c r="AB2209" s="265" t="str">
        <f t="shared" si="314"/>
        <v/>
      </c>
    </row>
    <row r="2210" spans="1:28" s="264" customFormat="1" ht="20.399999999999999">
      <c r="A2210" s="207"/>
      <c r="B2210" s="208"/>
      <c r="C2210" s="212"/>
      <c r="D2210" s="270"/>
      <c r="E2210" s="208"/>
      <c r="F2210" s="208"/>
      <c r="G2210" s="208"/>
      <c r="H2210" s="209"/>
      <c r="I2210" s="210"/>
      <c r="J2210" s="210"/>
      <c r="K2210" s="260"/>
      <c r="L2210" s="260"/>
      <c r="M2210" s="260"/>
      <c r="N2210" s="260"/>
      <c r="O2210" s="260"/>
      <c r="P2210" s="211"/>
      <c r="Q2210" s="261"/>
      <c r="R2210" s="208" t="str">
        <f ca="1">IF(ISERROR($V2210),"",OFFSET('Smelter Look-up'!$C$4,$V2210-4,0)&amp;"")</f>
        <v/>
      </c>
      <c r="S2210" s="215" t="str">
        <f t="shared" ca="1" si="312"/>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si="313"/>
        <v>0</v>
      </c>
      <c r="Y2210" s="263"/>
      <c r="Z2210" s="263"/>
      <c r="AB2210" s="265" t="str">
        <f t="shared" si="314"/>
        <v/>
      </c>
    </row>
    <row r="2211" spans="1:28" s="264" customFormat="1" ht="20.399999999999999">
      <c r="A2211" s="207"/>
      <c r="B2211" s="208"/>
      <c r="C2211" s="212"/>
      <c r="D2211" s="270"/>
      <c r="E2211" s="208"/>
      <c r="F2211" s="208"/>
      <c r="G2211" s="208"/>
      <c r="H2211" s="209"/>
      <c r="I2211" s="210"/>
      <c r="J2211" s="210"/>
      <c r="K2211" s="260"/>
      <c r="L2211" s="260"/>
      <c r="M2211" s="260"/>
      <c r="N2211" s="260"/>
      <c r="O2211" s="260"/>
      <c r="P2211" s="211"/>
      <c r="Q2211" s="261"/>
      <c r="R2211" s="208" t="str">
        <f ca="1">IF(ISERROR($V2211),"",OFFSET('Smelter Look-up'!$C$4,$V2211-4,0)&amp;"")</f>
        <v/>
      </c>
      <c r="S2211" s="215" t="str">
        <f t="shared" ca="1" si="312"/>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si="313"/>
        <v>0</v>
      </c>
      <c r="Y2211" s="263"/>
      <c r="Z2211" s="263"/>
      <c r="AB2211" s="265" t="str">
        <f t="shared" si="314"/>
        <v/>
      </c>
    </row>
    <row r="2212" spans="1:28" s="264" customFormat="1" ht="20.399999999999999">
      <c r="A2212" s="207"/>
      <c r="B2212" s="208"/>
      <c r="C2212" s="212"/>
      <c r="D2212" s="270"/>
      <c r="E2212" s="208"/>
      <c r="F2212" s="208"/>
      <c r="G2212" s="208"/>
      <c r="H2212" s="209"/>
      <c r="I2212" s="210"/>
      <c r="J2212" s="210"/>
      <c r="K2212" s="260"/>
      <c r="L2212" s="260"/>
      <c r="M2212" s="260"/>
      <c r="N2212" s="260"/>
      <c r="O2212" s="260"/>
      <c r="P2212" s="211"/>
      <c r="Q2212" s="261"/>
      <c r="R2212" s="208" t="str">
        <f ca="1">IF(ISERROR($V2212),"",OFFSET('Smelter Look-up'!$C$4,$V2212-4,0)&amp;"")</f>
        <v/>
      </c>
      <c r="S2212" s="215" t="str">
        <f t="shared" ca="1" si="312"/>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si="313"/>
        <v>0</v>
      </c>
      <c r="Y2212" s="263"/>
      <c r="Z2212" s="263"/>
      <c r="AB2212" s="265" t="str">
        <f t="shared" si="314"/>
        <v/>
      </c>
    </row>
    <row r="2213" spans="1:28" s="264" customFormat="1" ht="20.399999999999999">
      <c r="A2213" s="207"/>
      <c r="B2213" s="208"/>
      <c r="C2213" s="212"/>
      <c r="D2213" s="270"/>
      <c r="E2213" s="208"/>
      <c r="F2213" s="208"/>
      <c r="G2213" s="208"/>
      <c r="H2213" s="209"/>
      <c r="I2213" s="210"/>
      <c r="J2213" s="210"/>
      <c r="K2213" s="260"/>
      <c r="L2213" s="260"/>
      <c r="M2213" s="260"/>
      <c r="N2213" s="260"/>
      <c r="O2213" s="260"/>
      <c r="P2213" s="211"/>
      <c r="Q2213" s="261"/>
      <c r="R2213" s="208" t="str">
        <f ca="1">IF(ISERROR($V2213),"",OFFSET('Smelter Look-up'!$C$4,$V2213-4,0)&amp;"")</f>
        <v/>
      </c>
      <c r="S2213" s="215" t="str">
        <f t="shared" ca="1" si="312"/>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si="313"/>
        <v>0</v>
      </c>
      <c r="Y2213" s="263"/>
      <c r="Z2213" s="263"/>
      <c r="AB2213" s="265" t="str">
        <f t="shared" si="314"/>
        <v/>
      </c>
    </row>
    <row r="2214" spans="1:28" s="264" customFormat="1" ht="20.399999999999999">
      <c r="A2214" s="207"/>
      <c r="B2214" s="208"/>
      <c r="C2214" s="212"/>
      <c r="D2214" s="270"/>
      <c r="E2214" s="208"/>
      <c r="F2214" s="208"/>
      <c r="G2214" s="208"/>
      <c r="H2214" s="209"/>
      <c r="I2214" s="210"/>
      <c r="J2214" s="210"/>
      <c r="K2214" s="260"/>
      <c r="L2214" s="260"/>
      <c r="M2214" s="260"/>
      <c r="N2214" s="260"/>
      <c r="O2214" s="260"/>
      <c r="P2214" s="211"/>
      <c r="Q2214" s="261"/>
      <c r="R2214" s="208" t="str">
        <f ca="1">IF(ISERROR($V2214),"",OFFSET('Smelter Look-up'!$C$4,$V2214-4,0)&amp;"")</f>
        <v/>
      </c>
      <c r="S2214" s="215" t="str">
        <f t="shared" ca="1" si="312"/>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si="313"/>
        <v>0</v>
      </c>
      <c r="Y2214" s="263"/>
      <c r="Z2214" s="263"/>
      <c r="AB2214" s="265" t="str">
        <f t="shared" si="314"/>
        <v/>
      </c>
    </row>
    <row r="2215" spans="1:28" s="264" customFormat="1" ht="20.399999999999999">
      <c r="A2215" s="207"/>
      <c r="B2215" s="208"/>
      <c r="C2215" s="212"/>
      <c r="D2215" s="270"/>
      <c r="E2215" s="208"/>
      <c r="F2215" s="208"/>
      <c r="G2215" s="208"/>
      <c r="H2215" s="209"/>
      <c r="I2215" s="210"/>
      <c r="J2215" s="210"/>
      <c r="K2215" s="260"/>
      <c r="L2215" s="260"/>
      <c r="M2215" s="260"/>
      <c r="N2215" s="260"/>
      <c r="O2215" s="260"/>
      <c r="P2215" s="211"/>
      <c r="Q2215" s="261"/>
      <c r="R2215" s="208" t="str">
        <f ca="1">IF(ISERROR($V2215),"",OFFSET('Smelter Look-up'!$C$4,$V2215-4,0)&amp;"")</f>
        <v/>
      </c>
      <c r="S2215" s="215" t="str">
        <f t="shared" ca="1" si="312"/>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si="313"/>
        <v>0</v>
      </c>
      <c r="Y2215" s="263"/>
      <c r="Z2215" s="263"/>
      <c r="AB2215" s="265" t="str">
        <f t="shared" si="314"/>
        <v/>
      </c>
    </row>
    <row r="2216" spans="1:28" s="264" customFormat="1" ht="20.399999999999999">
      <c r="A2216" s="207"/>
      <c r="B2216" s="208"/>
      <c r="C2216" s="212"/>
      <c r="D2216" s="270"/>
      <c r="E2216" s="208"/>
      <c r="F2216" s="208"/>
      <c r="G2216" s="208"/>
      <c r="H2216" s="209"/>
      <c r="I2216" s="210"/>
      <c r="J2216" s="210"/>
      <c r="K2216" s="260"/>
      <c r="L2216" s="260"/>
      <c r="M2216" s="260"/>
      <c r="N2216" s="260"/>
      <c r="O2216" s="260"/>
      <c r="P2216" s="211"/>
      <c r="Q2216" s="261"/>
      <c r="R2216" s="208" t="str">
        <f ca="1">IF(ISERROR($V2216),"",OFFSET('Smelter Look-up'!$C$4,$V2216-4,0)&amp;"")</f>
        <v/>
      </c>
      <c r="S2216" s="215" t="str">
        <f t="shared" ca="1" si="312"/>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si="313"/>
        <v>0</v>
      </c>
      <c r="Y2216" s="263"/>
      <c r="Z2216" s="263"/>
      <c r="AB2216" s="265" t="str">
        <f t="shared" si="314"/>
        <v/>
      </c>
    </row>
    <row r="2217" spans="1:28" s="264" customFormat="1" ht="20.399999999999999">
      <c r="A2217" s="207"/>
      <c r="B2217" s="208"/>
      <c r="C2217" s="212"/>
      <c r="D2217" s="270"/>
      <c r="E2217" s="208"/>
      <c r="F2217" s="208"/>
      <c r="G2217" s="208"/>
      <c r="H2217" s="209"/>
      <c r="I2217" s="210"/>
      <c r="J2217" s="210"/>
      <c r="K2217" s="260"/>
      <c r="L2217" s="260"/>
      <c r="M2217" s="260"/>
      <c r="N2217" s="260"/>
      <c r="O2217" s="260"/>
      <c r="P2217" s="211"/>
      <c r="Q2217" s="261"/>
      <c r="R2217" s="208" t="str">
        <f ca="1">IF(ISERROR($V2217),"",OFFSET('Smelter Look-up'!$C$4,$V2217-4,0)&amp;"")</f>
        <v/>
      </c>
      <c r="S2217" s="215" t="str">
        <f t="shared" ca="1" si="312"/>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si="313"/>
        <v>0</v>
      </c>
      <c r="Y2217" s="263"/>
      <c r="Z2217" s="263"/>
      <c r="AB2217" s="265" t="str">
        <f t="shared" si="314"/>
        <v/>
      </c>
    </row>
    <row r="2218" spans="1:28" s="264" customFormat="1" ht="20.399999999999999">
      <c r="A2218" s="207"/>
      <c r="B2218" s="208"/>
      <c r="C2218" s="212"/>
      <c r="D2218" s="270"/>
      <c r="E2218" s="208"/>
      <c r="F2218" s="208"/>
      <c r="G2218" s="208"/>
      <c r="H2218" s="209"/>
      <c r="I2218" s="210"/>
      <c r="J2218" s="210"/>
      <c r="K2218" s="260"/>
      <c r="L2218" s="260"/>
      <c r="M2218" s="260"/>
      <c r="N2218" s="260"/>
      <c r="O2218" s="260"/>
      <c r="P2218" s="211"/>
      <c r="Q2218" s="261"/>
      <c r="R2218" s="208" t="str">
        <f ca="1">IF(ISERROR($V2218),"",OFFSET('Smelter Look-up'!$C$4,$V2218-4,0)&amp;"")</f>
        <v/>
      </c>
      <c r="S2218" s="215" t="str">
        <f t="shared" ca="1" si="312"/>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si="313"/>
        <v>0</v>
      </c>
      <c r="Y2218" s="263"/>
      <c r="Z2218" s="263"/>
      <c r="AB2218" s="265" t="str">
        <f t="shared" si="314"/>
        <v/>
      </c>
    </row>
    <row r="2219" spans="1:28" s="264" customFormat="1" ht="20.399999999999999">
      <c r="A2219" s="207"/>
      <c r="B2219" s="208"/>
      <c r="C2219" s="212"/>
      <c r="D2219" s="270"/>
      <c r="E2219" s="208"/>
      <c r="F2219" s="208"/>
      <c r="G2219" s="208"/>
      <c r="H2219" s="209"/>
      <c r="I2219" s="210"/>
      <c r="J2219" s="210"/>
      <c r="K2219" s="260"/>
      <c r="L2219" s="260"/>
      <c r="M2219" s="260"/>
      <c r="N2219" s="260"/>
      <c r="O2219" s="260"/>
      <c r="P2219" s="211"/>
      <c r="Q2219" s="261"/>
      <c r="R2219" s="208" t="str">
        <f ca="1">IF(ISERROR($V2219),"",OFFSET('Smelter Look-up'!$C$4,$V2219-4,0)&amp;"")</f>
        <v/>
      </c>
      <c r="S2219" s="215" t="str">
        <f t="shared" ca="1" si="312"/>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si="313"/>
        <v>0</v>
      </c>
      <c r="Y2219" s="263"/>
      <c r="Z2219" s="263"/>
      <c r="AB2219" s="265" t="str">
        <f t="shared" si="314"/>
        <v/>
      </c>
    </row>
    <row r="2220" spans="1:28" s="264" customFormat="1" ht="20.399999999999999">
      <c r="A2220" s="207"/>
      <c r="B2220" s="208"/>
      <c r="C2220" s="212"/>
      <c r="D2220" s="270"/>
      <c r="E2220" s="208"/>
      <c r="F2220" s="208"/>
      <c r="G2220" s="208"/>
      <c r="H2220" s="209"/>
      <c r="I2220" s="210"/>
      <c r="J2220" s="210"/>
      <c r="K2220" s="260"/>
      <c r="L2220" s="260"/>
      <c r="M2220" s="260"/>
      <c r="N2220" s="260"/>
      <c r="O2220" s="260"/>
      <c r="P2220" s="211"/>
      <c r="Q2220" s="261"/>
      <c r="R2220" s="208" t="str">
        <f ca="1">IF(ISERROR($V2220),"",OFFSET('Smelter Look-up'!$C$4,$V2220-4,0)&amp;"")</f>
        <v/>
      </c>
      <c r="S2220" s="215" t="str">
        <f t="shared" ca="1" si="312"/>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si="313"/>
        <v>0</v>
      </c>
      <c r="Y2220" s="263"/>
      <c r="Z2220" s="263"/>
      <c r="AB2220" s="265" t="str">
        <f t="shared" si="314"/>
        <v/>
      </c>
    </row>
    <row r="2221" spans="1:28" s="264" customFormat="1" ht="20.399999999999999">
      <c r="A2221" s="207"/>
      <c r="B2221" s="208"/>
      <c r="C2221" s="212"/>
      <c r="D2221" s="270"/>
      <c r="E2221" s="208"/>
      <c r="F2221" s="208"/>
      <c r="G2221" s="208"/>
      <c r="H2221" s="209"/>
      <c r="I2221" s="210"/>
      <c r="J2221" s="210"/>
      <c r="K2221" s="260"/>
      <c r="L2221" s="260"/>
      <c r="M2221" s="260"/>
      <c r="N2221" s="260"/>
      <c r="O2221" s="260"/>
      <c r="P2221" s="211"/>
      <c r="Q2221" s="261"/>
      <c r="R2221" s="208" t="str">
        <f ca="1">IF(ISERROR($V2221),"",OFFSET('Smelter Look-up'!$C$4,$V2221-4,0)&amp;"")</f>
        <v/>
      </c>
      <c r="S2221" s="215" t="str">
        <f t="shared" ca="1" si="312"/>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si="313"/>
        <v>0</v>
      </c>
      <c r="Y2221" s="263"/>
      <c r="Z2221" s="263"/>
      <c r="AB2221" s="265" t="str">
        <f t="shared" si="314"/>
        <v/>
      </c>
    </row>
    <row r="2222" spans="1:28" s="264" customFormat="1" ht="20.399999999999999">
      <c r="A2222" s="207"/>
      <c r="B2222" s="208"/>
      <c r="C2222" s="212"/>
      <c r="D2222" s="270"/>
      <c r="E2222" s="208"/>
      <c r="F2222" s="208"/>
      <c r="G2222" s="208"/>
      <c r="H2222" s="209"/>
      <c r="I2222" s="210"/>
      <c r="J2222" s="210"/>
      <c r="K2222" s="260"/>
      <c r="L2222" s="260"/>
      <c r="M2222" s="260"/>
      <c r="N2222" s="260"/>
      <c r="O2222" s="260"/>
      <c r="P2222" s="211"/>
      <c r="Q2222" s="261"/>
      <c r="R2222" s="208" t="str">
        <f ca="1">IF(ISERROR($V2222),"",OFFSET('Smelter Look-up'!$C$4,$V2222-4,0)&amp;"")</f>
        <v/>
      </c>
      <c r="S2222" s="215" t="str">
        <f t="shared" ca="1" si="312"/>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si="313"/>
        <v>0</v>
      </c>
      <c r="Y2222" s="263"/>
      <c r="Z2222" s="263"/>
      <c r="AB2222" s="265" t="str">
        <f t="shared" si="314"/>
        <v/>
      </c>
    </row>
    <row r="2223" spans="1:28" s="264" customFormat="1" ht="20.399999999999999">
      <c r="A2223" s="207"/>
      <c r="B2223" s="208"/>
      <c r="C2223" s="212"/>
      <c r="D2223" s="270"/>
      <c r="E2223" s="208"/>
      <c r="F2223" s="208"/>
      <c r="G2223" s="208"/>
      <c r="H2223" s="209"/>
      <c r="I2223" s="210"/>
      <c r="J2223" s="210"/>
      <c r="K2223" s="260"/>
      <c r="L2223" s="260"/>
      <c r="M2223" s="260"/>
      <c r="N2223" s="260"/>
      <c r="O2223" s="260"/>
      <c r="P2223" s="211"/>
      <c r="Q2223" s="261"/>
      <c r="R2223" s="208" t="str">
        <f ca="1">IF(ISERROR($V2223),"",OFFSET('Smelter Look-up'!$C$4,$V2223-4,0)&amp;"")</f>
        <v/>
      </c>
      <c r="S2223" s="215" t="str">
        <f t="shared" ca="1" si="312"/>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si="313"/>
        <v>0</v>
      </c>
      <c r="Y2223" s="263"/>
      <c r="Z2223" s="263"/>
      <c r="AB2223" s="265" t="str">
        <f t="shared" si="314"/>
        <v/>
      </c>
    </row>
    <row r="2224" spans="1:28" s="264" customFormat="1" ht="20.399999999999999">
      <c r="A2224" s="207"/>
      <c r="B2224" s="208"/>
      <c r="C2224" s="212"/>
      <c r="D2224" s="270"/>
      <c r="E2224" s="208"/>
      <c r="F2224" s="208"/>
      <c r="G2224" s="208"/>
      <c r="H2224" s="209"/>
      <c r="I2224" s="210"/>
      <c r="J2224" s="210"/>
      <c r="K2224" s="260"/>
      <c r="L2224" s="260"/>
      <c r="M2224" s="260"/>
      <c r="N2224" s="260"/>
      <c r="O2224" s="260"/>
      <c r="P2224" s="211"/>
      <c r="Q2224" s="261"/>
      <c r="R2224" s="208" t="str">
        <f ca="1">IF(ISERROR($V2224),"",OFFSET('Smelter Look-up'!$C$4,$V2224-4,0)&amp;"")</f>
        <v/>
      </c>
      <c r="S2224" s="215" t="str">
        <f t="shared" ca="1" si="312"/>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si="313"/>
        <v>0</v>
      </c>
      <c r="Y2224" s="263"/>
      <c r="Z2224" s="263"/>
      <c r="AB2224" s="265" t="str">
        <f t="shared" si="314"/>
        <v/>
      </c>
    </row>
    <row r="2225" spans="1:28" s="264" customFormat="1" ht="20.399999999999999">
      <c r="A2225" s="207"/>
      <c r="B2225" s="208"/>
      <c r="C2225" s="212"/>
      <c r="D2225" s="270"/>
      <c r="E2225" s="208"/>
      <c r="F2225" s="208"/>
      <c r="G2225" s="208"/>
      <c r="H2225" s="209"/>
      <c r="I2225" s="210"/>
      <c r="J2225" s="210"/>
      <c r="K2225" s="260"/>
      <c r="L2225" s="260"/>
      <c r="M2225" s="260"/>
      <c r="N2225" s="260"/>
      <c r="O2225" s="260"/>
      <c r="P2225" s="211"/>
      <c r="Q2225" s="261"/>
      <c r="R2225" s="208" t="str">
        <f ca="1">IF(ISERROR($V2225),"",OFFSET('Smelter Look-up'!$C$4,$V2225-4,0)&amp;"")</f>
        <v/>
      </c>
      <c r="S2225" s="215" t="str">
        <f t="shared" ca="1" si="312"/>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si="313"/>
        <v>0</v>
      </c>
      <c r="Y2225" s="263"/>
      <c r="Z2225" s="263"/>
      <c r="AB2225" s="265" t="str">
        <f t="shared" si="314"/>
        <v/>
      </c>
    </row>
    <row r="2226" spans="1:28" s="264" customFormat="1" ht="20.399999999999999">
      <c r="A2226" s="207"/>
      <c r="B2226" s="208"/>
      <c r="C2226" s="212"/>
      <c r="D2226" s="270"/>
      <c r="E2226" s="208"/>
      <c r="F2226" s="208"/>
      <c r="G2226" s="208"/>
      <c r="H2226" s="209"/>
      <c r="I2226" s="210"/>
      <c r="J2226" s="210"/>
      <c r="K2226" s="260"/>
      <c r="L2226" s="260"/>
      <c r="M2226" s="260"/>
      <c r="N2226" s="260"/>
      <c r="O2226" s="260"/>
      <c r="P2226" s="211"/>
      <c r="Q2226" s="261"/>
      <c r="R2226" s="208" t="str">
        <f ca="1">IF(ISERROR($V2226),"",OFFSET('Smelter Look-up'!$C$4,$V2226-4,0)&amp;"")</f>
        <v/>
      </c>
      <c r="S2226" s="215" t="str">
        <f t="shared" ca="1" si="312"/>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si="313"/>
        <v>0</v>
      </c>
      <c r="Y2226" s="263"/>
      <c r="Z2226" s="263"/>
      <c r="AB2226" s="265" t="str">
        <f t="shared" si="314"/>
        <v/>
      </c>
    </row>
    <row r="2227" spans="1:28" s="264" customFormat="1" ht="20.399999999999999">
      <c r="A2227" s="207"/>
      <c r="B2227" s="208"/>
      <c r="C2227" s="212"/>
      <c r="D2227" s="270"/>
      <c r="E2227" s="208"/>
      <c r="F2227" s="208"/>
      <c r="G2227" s="208"/>
      <c r="H2227" s="209"/>
      <c r="I2227" s="210"/>
      <c r="J2227" s="210"/>
      <c r="K2227" s="260"/>
      <c r="L2227" s="260"/>
      <c r="M2227" s="260"/>
      <c r="N2227" s="260"/>
      <c r="O2227" s="260"/>
      <c r="P2227" s="211"/>
      <c r="Q2227" s="261"/>
      <c r="R2227" s="208" t="str">
        <f ca="1">IF(ISERROR($V2227),"",OFFSET('Smelter Look-up'!$C$4,$V2227-4,0)&amp;"")</f>
        <v/>
      </c>
      <c r="S2227" s="215" t="str">
        <f t="shared" ca="1" si="312"/>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si="313"/>
        <v>0</v>
      </c>
      <c r="Y2227" s="263"/>
      <c r="Z2227" s="263"/>
      <c r="AB2227" s="265" t="str">
        <f t="shared" si="314"/>
        <v/>
      </c>
    </row>
    <row r="2228" spans="1:28" s="264" customFormat="1" ht="20.399999999999999">
      <c r="A2228" s="207"/>
      <c r="B2228" s="208"/>
      <c r="C2228" s="212"/>
      <c r="D2228" s="270"/>
      <c r="E2228" s="208"/>
      <c r="F2228" s="208"/>
      <c r="G2228" s="208"/>
      <c r="H2228" s="209"/>
      <c r="I2228" s="210"/>
      <c r="J2228" s="210"/>
      <c r="K2228" s="260"/>
      <c r="L2228" s="260"/>
      <c r="M2228" s="260"/>
      <c r="N2228" s="260"/>
      <c r="O2228" s="260"/>
      <c r="P2228" s="211"/>
      <c r="Q2228" s="261"/>
      <c r="R2228" s="208" t="str">
        <f ca="1">IF(ISERROR($V2228),"",OFFSET('Smelter Look-up'!$C$4,$V2228-4,0)&amp;"")</f>
        <v/>
      </c>
      <c r="S2228" s="215" t="str">
        <f t="shared" ca="1" si="312"/>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si="313"/>
        <v>0</v>
      </c>
      <c r="Y2228" s="263"/>
      <c r="Z2228" s="263"/>
      <c r="AB2228" s="265" t="str">
        <f t="shared" si="314"/>
        <v/>
      </c>
    </row>
    <row r="2229" spans="1:28" s="264" customFormat="1" ht="20.399999999999999">
      <c r="A2229" s="207"/>
      <c r="B2229" s="208"/>
      <c r="C2229" s="212"/>
      <c r="D2229" s="270"/>
      <c r="E2229" s="208"/>
      <c r="F2229" s="208"/>
      <c r="G2229" s="208"/>
      <c r="H2229" s="209"/>
      <c r="I2229" s="210"/>
      <c r="J2229" s="210"/>
      <c r="K2229" s="260"/>
      <c r="L2229" s="260"/>
      <c r="M2229" s="260"/>
      <c r="N2229" s="260"/>
      <c r="O2229" s="260"/>
      <c r="P2229" s="211"/>
      <c r="Q2229" s="261"/>
      <c r="R2229" s="208" t="str">
        <f ca="1">IF(ISERROR($V2229),"",OFFSET('Smelter Look-up'!$C$4,$V2229-4,0)&amp;"")</f>
        <v/>
      </c>
      <c r="S2229" s="215" t="str">
        <f t="shared" ca="1" si="312"/>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si="313"/>
        <v>0</v>
      </c>
      <c r="Y2229" s="263"/>
      <c r="Z2229" s="263"/>
      <c r="AB2229" s="265" t="str">
        <f t="shared" si="314"/>
        <v/>
      </c>
    </row>
    <row r="2230" spans="1:28" s="264" customFormat="1" ht="20.399999999999999">
      <c r="A2230" s="207"/>
      <c r="B2230" s="208"/>
      <c r="C2230" s="212"/>
      <c r="D2230" s="270"/>
      <c r="E2230" s="208"/>
      <c r="F2230" s="208"/>
      <c r="G2230" s="208"/>
      <c r="H2230" s="209"/>
      <c r="I2230" s="210"/>
      <c r="J2230" s="210"/>
      <c r="K2230" s="260"/>
      <c r="L2230" s="260"/>
      <c r="M2230" s="260"/>
      <c r="N2230" s="260"/>
      <c r="O2230" s="260"/>
      <c r="P2230" s="211"/>
      <c r="Q2230" s="261"/>
      <c r="R2230" s="208" t="str">
        <f ca="1">IF(ISERROR($V2230),"",OFFSET('Smelter Look-up'!$C$4,$V2230-4,0)&amp;"")</f>
        <v/>
      </c>
      <c r="S2230" s="215" t="str">
        <f t="shared" ca="1" si="312"/>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si="313"/>
        <v>0</v>
      </c>
      <c r="Y2230" s="263"/>
      <c r="Z2230" s="263"/>
      <c r="AB2230" s="265" t="str">
        <f t="shared" si="314"/>
        <v/>
      </c>
    </row>
    <row r="2231" spans="1:28" s="264" customFormat="1" ht="20.399999999999999">
      <c r="A2231" s="207"/>
      <c r="B2231" s="208"/>
      <c r="C2231" s="212"/>
      <c r="D2231" s="270"/>
      <c r="E2231" s="208"/>
      <c r="F2231" s="208"/>
      <c r="G2231" s="208"/>
      <c r="H2231" s="209"/>
      <c r="I2231" s="210"/>
      <c r="J2231" s="210"/>
      <c r="K2231" s="260"/>
      <c r="L2231" s="260"/>
      <c r="M2231" s="260"/>
      <c r="N2231" s="260"/>
      <c r="O2231" s="260"/>
      <c r="P2231" s="211"/>
      <c r="Q2231" s="261"/>
      <c r="R2231" s="208" t="str">
        <f ca="1">IF(ISERROR($V2231),"",OFFSET('Smelter Look-up'!$C$4,$V2231-4,0)&amp;"")</f>
        <v/>
      </c>
      <c r="S2231" s="215" t="str">
        <f t="shared" ca="1" si="312"/>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si="313"/>
        <v>0</v>
      </c>
      <c r="Y2231" s="263"/>
      <c r="Z2231" s="263"/>
      <c r="AB2231" s="265" t="str">
        <f t="shared" si="314"/>
        <v/>
      </c>
    </row>
    <row r="2232" spans="1:28" s="264" customFormat="1" ht="20.399999999999999">
      <c r="A2232" s="207"/>
      <c r="B2232" s="208"/>
      <c r="C2232" s="212"/>
      <c r="D2232" s="270"/>
      <c r="E2232" s="208"/>
      <c r="F2232" s="208"/>
      <c r="G2232" s="208"/>
      <c r="H2232" s="209"/>
      <c r="I2232" s="210"/>
      <c r="J2232" s="210"/>
      <c r="K2232" s="260"/>
      <c r="L2232" s="260"/>
      <c r="M2232" s="260"/>
      <c r="N2232" s="260"/>
      <c r="O2232" s="260"/>
      <c r="P2232" s="211"/>
      <c r="Q2232" s="261"/>
      <c r="R2232" s="208" t="str">
        <f ca="1">IF(ISERROR($V2232),"",OFFSET('Smelter Look-up'!$C$4,$V2232-4,0)&amp;"")</f>
        <v/>
      </c>
      <c r="S2232" s="215" t="str">
        <f t="shared" ca="1" si="312"/>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si="313"/>
        <v>0</v>
      </c>
      <c r="Y2232" s="263"/>
      <c r="Z2232" s="263"/>
      <c r="AB2232" s="265" t="str">
        <f t="shared" si="314"/>
        <v/>
      </c>
    </row>
    <row r="2233" spans="1:28" s="264" customFormat="1" ht="20.399999999999999">
      <c r="A2233" s="207"/>
      <c r="B2233" s="208"/>
      <c r="C2233" s="212"/>
      <c r="D2233" s="270"/>
      <c r="E2233" s="208"/>
      <c r="F2233" s="208"/>
      <c r="G2233" s="208"/>
      <c r="H2233" s="209"/>
      <c r="I2233" s="210"/>
      <c r="J2233" s="210"/>
      <c r="K2233" s="260"/>
      <c r="L2233" s="260"/>
      <c r="M2233" s="260"/>
      <c r="N2233" s="260"/>
      <c r="O2233" s="260"/>
      <c r="P2233" s="211"/>
      <c r="Q2233" s="261"/>
      <c r="R2233" s="208" t="str">
        <f ca="1">IF(ISERROR($V2233),"",OFFSET('Smelter Look-up'!$C$4,$V2233-4,0)&amp;"")</f>
        <v/>
      </c>
      <c r="S2233" s="215" t="str">
        <f t="shared" ca="1" si="312"/>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si="313"/>
        <v>0</v>
      </c>
      <c r="Y2233" s="263"/>
      <c r="Z2233" s="263"/>
      <c r="AB2233" s="265" t="str">
        <f t="shared" si="314"/>
        <v/>
      </c>
    </row>
    <row r="2234" spans="1:28" s="264" customFormat="1" ht="20.399999999999999">
      <c r="A2234" s="207"/>
      <c r="B2234" s="208"/>
      <c r="C2234" s="212"/>
      <c r="D2234" s="270"/>
      <c r="E2234" s="208"/>
      <c r="F2234" s="208"/>
      <c r="G2234" s="208"/>
      <c r="H2234" s="209"/>
      <c r="I2234" s="210"/>
      <c r="J2234" s="210"/>
      <c r="K2234" s="260"/>
      <c r="L2234" s="260"/>
      <c r="M2234" s="260"/>
      <c r="N2234" s="260"/>
      <c r="O2234" s="260"/>
      <c r="P2234" s="211"/>
      <c r="Q2234" s="261"/>
      <c r="R2234" s="208" t="str">
        <f ca="1">IF(ISERROR($V2234),"",OFFSET('Smelter Look-up'!$C$4,$V2234-4,0)&amp;"")</f>
        <v/>
      </c>
      <c r="S2234" s="215" t="str">
        <f t="shared" ca="1" si="312"/>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si="313"/>
        <v>0</v>
      </c>
      <c r="Y2234" s="263"/>
      <c r="Z2234" s="263"/>
      <c r="AB2234" s="265" t="str">
        <f t="shared" si="314"/>
        <v/>
      </c>
    </row>
    <row r="2235" spans="1:28" s="264" customFormat="1" ht="20.399999999999999">
      <c r="A2235" s="207"/>
      <c r="B2235" s="208"/>
      <c r="C2235" s="212"/>
      <c r="D2235" s="270"/>
      <c r="E2235" s="208"/>
      <c r="F2235" s="208"/>
      <c r="G2235" s="208"/>
      <c r="H2235" s="209"/>
      <c r="I2235" s="210"/>
      <c r="J2235" s="210"/>
      <c r="K2235" s="260"/>
      <c r="L2235" s="260"/>
      <c r="M2235" s="260"/>
      <c r="N2235" s="260"/>
      <c r="O2235" s="260"/>
      <c r="P2235" s="211"/>
      <c r="Q2235" s="261"/>
      <c r="R2235" s="208" t="str">
        <f ca="1">IF(ISERROR($V2235),"",OFFSET('Smelter Look-up'!$C$4,$V2235-4,0)&amp;"")</f>
        <v/>
      </c>
      <c r="S2235" s="215" t="str">
        <f t="shared" ref="S2235" ca="1" si="315">IF(B2235="","",IF(ISERROR(MATCH($E2235,CL,0)),"Unknown",INDIRECT("'C'!$A$"&amp;MATCH($E2235,CL,0)+1)))</f>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t="shared" ref="X2235" si="316">IF(AND(C2235="Smelter not listed",OR(LEN(D2235)=0,LEN(E2235)=0)),1,0)</f>
        <v>0</v>
      </c>
      <c r="Y2235" s="263"/>
      <c r="Z2235" s="263"/>
      <c r="AB2235" s="265" t="str">
        <f t="shared" ref="AB2235" si="317">B2235&amp;C2235</f>
        <v/>
      </c>
    </row>
    <row r="2236" spans="1:28" s="264" customFormat="1" ht="20.399999999999999">
      <c r="A2236" s="207"/>
      <c r="B2236" s="208"/>
      <c r="C2236" s="212"/>
      <c r="D2236" s="270"/>
      <c r="E2236" s="208"/>
      <c r="F2236" s="208"/>
      <c r="G2236" s="208"/>
      <c r="H2236" s="209"/>
      <c r="I2236" s="210"/>
      <c r="J2236" s="210"/>
      <c r="K2236" s="260"/>
      <c r="L2236" s="260"/>
      <c r="M2236" s="260"/>
      <c r="N2236" s="260"/>
      <c r="O2236" s="260"/>
      <c r="P2236" s="211"/>
      <c r="Q2236" s="261"/>
      <c r="R2236" s="208" t="str">
        <f ca="1">IF(ISERROR($V2236),"",OFFSET('Smelter Look-up'!$C$4,$V2236-4,0)&amp;"")</f>
        <v/>
      </c>
      <c r="S2236" s="215" t="str">
        <f t="shared" ref="S2236:S2267" ca="1" si="318">IF(B2236="","",IF(ISERROR(MATCH($E2236,CL,0)),"Unknown",INDIRECT("'C'!$A$"&amp;MATCH($E2236,CL,0)+1)))</f>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ref="X2236:X2267" si="319">IF(AND(C2236="Smelter not listed",OR(LEN(D2236)=0,LEN(E2236)=0)),1,0)</f>
        <v>0</v>
      </c>
      <c r="Y2236" s="263"/>
      <c r="Z2236" s="263"/>
      <c r="AB2236" s="265" t="str">
        <f t="shared" ref="AB2236:AB2267" si="320">B2236&amp;C2236</f>
        <v/>
      </c>
    </row>
    <row r="2237" spans="1:28" s="264" customFormat="1" ht="20.399999999999999">
      <c r="A2237" s="207"/>
      <c r="B2237" s="208"/>
      <c r="C2237" s="212"/>
      <c r="D2237" s="270"/>
      <c r="E2237" s="208"/>
      <c r="F2237" s="208"/>
      <c r="G2237" s="208"/>
      <c r="H2237" s="209"/>
      <c r="I2237" s="210"/>
      <c r="J2237" s="210"/>
      <c r="K2237" s="260"/>
      <c r="L2237" s="260"/>
      <c r="M2237" s="260"/>
      <c r="N2237" s="260"/>
      <c r="O2237" s="260"/>
      <c r="P2237" s="211"/>
      <c r="Q2237" s="261"/>
      <c r="R2237" s="208" t="str">
        <f ca="1">IF(ISERROR($V2237),"",OFFSET('Smelter Look-up'!$C$4,$V2237-4,0)&amp;"")</f>
        <v/>
      </c>
      <c r="S2237" s="215" t="str">
        <f t="shared" ca="1" si="318"/>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si="319"/>
        <v>0</v>
      </c>
      <c r="Y2237" s="263"/>
      <c r="Z2237" s="263"/>
      <c r="AB2237" s="265" t="str">
        <f t="shared" si="320"/>
        <v/>
      </c>
    </row>
    <row r="2238" spans="1:28" s="264" customFormat="1" ht="20.399999999999999">
      <c r="A2238" s="207"/>
      <c r="B2238" s="208"/>
      <c r="C2238" s="212"/>
      <c r="D2238" s="270"/>
      <c r="E2238" s="208"/>
      <c r="F2238" s="208"/>
      <c r="G2238" s="208"/>
      <c r="H2238" s="209"/>
      <c r="I2238" s="210"/>
      <c r="J2238" s="210"/>
      <c r="K2238" s="260"/>
      <c r="L2238" s="260"/>
      <c r="M2238" s="260"/>
      <c r="N2238" s="260"/>
      <c r="O2238" s="260"/>
      <c r="P2238" s="211"/>
      <c r="Q2238" s="261"/>
      <c r="R2238" s="208" t="str">
        <f ca="1">IF(ISERROR($V2238),"",OFFSET('Smelter Look-up'!$C$4,$V2238-4,0)&amp;"")</f>
        <v/>
      </c>
      <c r="S2238" s="215" t="str">
        <f t="shared" ca="1" si="318"/>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si="319"/>
        <v>0</v>
      </c>
      <c r="Y2238" s="263"/>
      <c r="Z2238" s="263"/>
      <c r="AB2238" s="265" t="str">
        <f t="shared" si="320"/>
        <v/>
      </c>
    </row>
    <row r="2239" spans="1:28" s="264" customFormat="1" ht="20.399999999999999">
      <c r="A2239" s="207"/>
      <c r="B2239" s="208"/>
      <c r="C2239" s="212"/>
      <c r="D2239" s="270"/>
      <c r="E2239" s="208"/>
      <c r="F2239" s="208"/>
      <c r="G2239" s="208"/>
      <c r="H2239" s="209"/>
      <c r="I2239" s="210"/>
      <c r="J2239" s="210"/>
      <c r="K2239" s="260"/>
      <c r="L2239" s="260"/>
      <c r="M2239" s="260"/>
      <c r="N2239" s="260"/>
      <c r="O2239" s="260"/>
      <c r="P2239" s="211"/>
      <c r="Q2239" s="261"/>
      <c r="R2239" s="208" t="str">
        <f ca="1">IF(ISERROR($V2239),"",OFFSET('Smelter Look-up'!$C$4,$V2239-4,0)&amp;"")</f>
        <v/>
      </c>
      <c r="S2239" s="215" t="str">
        <f t="shared" ca="1" si="318"/>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si="319"/>
        <v>0</v>
      </c>
      <c r="Y2239" s="263"/>
      <c r="Z2239" s="263"/>
      <c r="AB2239" s="265" t="str">
        <f t="shared" si="320"/>
        <v/>
      </c>
    </row>
    <row r="2240" spans="1:28" s="264" customFormat="1" ht="20.399999999999999">
      <c r="A2240" s="207"/>
      <c r="B2240" s="208"/>
      <c r="C2240" s="212"/>
      <c r="D2240" s="270"/>
      <c r="E2240" s="208"/>
      <c r="F2240" s="208"/>
      <c r="G2240" s="208"/>
      <c r="H2240" s="209"/>
      <c r="I2240" s="210"/>
      <c r="J2240" s="210"/>
      <c r="K2240" s="260"/>
      <c r="L2240" s="260"/>
      <c r="M2240" s="260"/>
      <c r="N2240" s="260"/>
      <c r="O2240" s="260"/>
      <c r="P2240" s="211"/>
      <c r="Q2240" s="261"/>
      <c r="R2240" s="208" t="str">
        <f ca="1">IF(ISERROR($V2240),"",OFFSET('Smelter Look-up'!$C$4,$V2240-4,0)&amp;"")</f>
        <v/>
      </c>
      <c r="S2240" s="215" t="str">
        <f t="shared" ca="1" si="318"/>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si="319"/>
        <v>0</v>
      </c>
      <c r="Y2240" s="263"/>
      <c r="Z2240" s="263"/>
      <c r="AB2240" s="265" t="str">
        <f t="shared" si="320"/>
        <v/>
      </c>
    </row>
    <row r="2241" spans="1:28" s="264" customFormat="1" ht="20.399999999999999">
      <c r="A2241" s="207"/>
      <c r="B2241" s="208"/>
      <c r="C2241" s="212"/>
      <c r="D2241" s="270"/>
      <c r="E2241" s="208"/>
      <c r="F2241" s="208"/>
      <c r="G2241" s="208"/>
      <c r="H2241" s="209"/>
      <c r="I2241" s="210"/>
      <c r="J2241" s="210"/>
      <c r="K2241" s="260"/>
      <c r="L2241" s="260"/>
      <c r="M2241" s="260"/>
      <c r="N2241" s="260"/>
      <c r="O2241" s="260"/>
      <c r="P2241" s="211"/>
      <c r="Q2241" s="261"/>
      <c r="R2241" s="208" t="str">
        <f ca="1">IF(ISERROR($V2241),"",OFFSET('Smelter Look-up'!$C$4,$V2241-4,0)&amp;"")</f>
        <v/>
      </c>
      <c r="S2241" s="215" t="str">
        <f t="shared" ca="1" si="318"/>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si="319"/>
        <v>0</v>
      </c>
      <c r="Y2241" s="263"/>
      <c r="Z2241" s="263"/>
      <c r="AB2241" s="265" t="str">
        <f t="shared" si="320"/>
        <v/>
      </c>
    </row>
    <row r="2242" spans="1:28" s="264" customFormat="1" ht="20.399999999999999">
      <c r="A2242" s="207"/>
      <c r="B2242" s="208"/>
      <c r="C2242" s="212"/>
      <c r="D2242" s="270"/>
      <c r="E2242" s="208"/>
      <c r="F2242" s="208"/>
      <c r="G2242" s="208"/>
      <c r="H2242" s="209"/>
      <c r="I2242" s="210"/>
      <c r="J2242" s="210"/>
      <c r="K2242" s="260"/>
      <c r="L2242" s="260"/>
      <c r="M2242" s="260"/>
      <c r="N2242" s="260"/>
      <c r="O2242" s="260"/>
      <c r="P2242" s="211"/>
      <c r="Q2242" s="261"/>
      <c r="R2242" s="208" t="str">
        <f ca="1">IF(ISERROR($V2242),"",OFFSET('Smelter Look-up'!$C$4,$V2242-4,0)&amp;"")</f>
        <v/>
      </c>
      <c r="S2242" s="215" t="str">
        <f t="shared" ca="1" si="318"/>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si="319"/>
        <v>0</v>
      </c>
      <c r="Y2242" s="263"/>
      <c r="Z2242" s="263"/>
      <c r="AB2242" s="265" t="str">
        <f t="shared" si="320"/>
        <v/>
      </c>
    </row>
    <row r="2243" spans="1:28" s="264" customFormat="1" ht="20.399999999999999">
      <c r="A2243" s="207"/>
      <c r="B2243" s="208"/>
      <c r="C2243" s="212"/>
      <c r="D2243" s="270"/>
      <c r="E2243" s="208"/>
      <c r="F2243" s="208"/>
      <c r="G2243" s="208"/>
      <c r="H2243" s="209"/>
      <c r="I2243" s="210"/>
      <c r="J2243" s="210"/>
      <c r="K2243" s="260"/>
      <c r="L2243" s="260"/>
      <c r="M2243" s="260"/>
      <c r="N2243" s="260"/>
      <c r="O2243" s="260"/>
      <c r="P2243" s="211"/>
      <c r="Q2243" s="261"/>
      <c r="R2243" s="208" t="str">
        <f ca="1">IF(ISERROR($V2243),"",OFFSET('Smelter Look-up'!$C$4,$V2243-4,0)&amp;"")</f>
        <v/>
      </c>
      <c r="S2243" s="215" t="str">
        <f t="shared" ca="1" si="318"/>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si="319"/>
        <v>0</v>
      </c>
      <c r="Y2243" s="263"/>
      <c r="Z2243" s="263"/>
      <c r="AB2243" s="265" t="str">
        <f t="shared" si="320"/>
        <v/>
      </c>
    </row>
    <row r="2244" spans="1:28" s="264" customFormat="1" ht="20.399999999999999">
      <c r="A2244" s="207"/>
      <c r="B2244" s="208"/>
      <c r="C2244" s="212"/>
      <c r="D2244" s="270"/>
      <c r="E2244" s="208"/>
      <c r="F2244" s="208"/>
      <c r="G2244" s="208"/>
      <c r="H2244" s="209"/>
      <c r="I2244" s="210"/>
      <c r="J2244" s="210"/>
      <c r="K2244" s="260"/>
      <c r="L2244" s="260"/>
      <c r="M2244" s="260"/>
      <c r="N2244" s="260"/>
      <c r="O2244" s="260"/>
      <c r="P2244" s="211"/>
      <c r="Q2244" s="261"/>
      <c r="R2244" s="208" t="str">
        <f ca="1">IF(ISERROR($V2244),"",OFFSET('Smelter Look-up'!$C$4,$V2244-4,0)&amp;"")</f>
        <v/>
      </c>
      <c r="S2244" s="215" t="str">
        <f t="shared" ca="1" si="318"/>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si="319"/>
        <v>0</v>
      </c>
      <c r="Y2244" s="263"/>
      <c r="Z2244" s="263"/>
      <c r="AB2244" s="265" t="str">
        <f t="shared" si="320"/>
        <v/>
      </c>
    </row>
    <row r="2245" spans="1:28" s="264" customFormat="1" ht="20.399999999999999">
      <c r="A2245" s="207"/>
      <c r="B2245" s="208"/>
      <c r="C2245" s="212"/>
      <c r="D2245" s="270"/>
      <c r="E2245" s="208"/>
      <c r="F2245" s="208"/>
      <c r="G2245" s="208"/>
      <c r="H2245" s="209"/>
      <c r="I2245" s="210"/>
      <c r="J2245" s="210"/>
      <c r="K2245" s="260"/>
      <c r="L2245" s="260"/>
      <c r="M2245" s="260"/>
      <c r="N2245" s="260"/>
      <c r="O2245" s="260"/>
      <c r="P2245" s="211"/>
      <c r="Q2245" s="261"/>
      <c r="R2245" s="208" t="str">
        <f ca="1">IF(ISERROR($V2245),"",OFFSET('Smelter Look-up'!$C$4,$V2245-4,0)&amp;"")</f>
        <v/>
      </c>
      <c r="S2245" s="215" t="str">
        <f t="shared" ca="1" si="318"/>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si="319"/>
        <v>0</v>
      </c>
      <c r="Y2245" s="263"/>
      <c r="Z2245" s="263"/>
      <c r="AB2245" s="265" t="str">
        <f t="shared" si="320"/>
        <v/>
      </c>
    </row>
    <row r="2246" spans="1:28" s="264" customFormat="1" ht="20.399999999999999">
      <c r="A2246" s="207"/>
      <c r="B2246" s="208"/>
      <c r="C2246" s="212"/>
      <c r="D2246" s="270"/>
      <c r="E2246" s="208"/>
      <c r="F2246" s="208"/>
      <c r="G2246" s="208"/>
      <c r="H2246" s="209"/>
      <c r="I2246" s="210"/>
      <c r="J2246" s="210"/>
      <c r="K2246" s="260"/>
      <c r="L2246" s="260"/>
      <c r="M2246" s="260"/>
      <c r="N2246" s="260"/>
      <c r="O2246" s="260"/>
      <c r="P2246" s="211"/>
      <c r="Q2246" s="261"/>
      <c r="R2246" s="208" t="str">
        <f ca="1">IF(ISERROR($V2246),"",OFFSET('Smelter Look-up'!$C$4,$V2246-4,0)&amp;"")</f>
        <v/>
      </c>
      <c r="S2246" s="215" t="str">
        <f t="shared" ca="1" si="318"/>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si="319"/>
        <v>0</v>
      </c>
      <c r="Y2246" s="263"/>
      <c r="Z2246" s="263"/>
      <c r="AB2246" s="265" t="str">
        <f t="shared" si="320"/>
        <v/>
      </c>
    </row>
    <row r="2247" spans="1:28" s="264" customFormat="1" ht="20.399999999999999">
      <c r="A2247" s="207"/>
      <c r="B2247" s="208"/>
      <c r="C2247" s="212"/>
      <c r="D2247" s="270"/>
      <c r="E2247" s="208"/>
      <c r="F2247" s="208"/>
      <c r="G2247" s="208"/>
      <c r="H2247" s="209"/>
      <c r="I2247" s="210"/>
      <c r="J2247" s="210"/>
      <c r="K2247" s="260"/>
      <c r="L2247" s="260"/>
      <c r="M2247" s="260"/>
      <c r="N2247" s="260"/>
      <c r="O2247" s="260"/>
      <c r="P2247" s="211"/>
      <c r="Q2247" s="261"/>
      <c r="R2247" s="208" t="str">
        <f ca="1">IF(ISERROR($V2247),"",OFFSET('Smelter Look-up'!$C$4,$V2247-4,0)&amp;"")</f>
        <v/>
      </c>
      <c r="S2247" s="215" t="str">
        <f t="shared" ca="1" si="318"/>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si="319"/>
        <v>0</v>
      </c>
      <c r="Y2247" s="263"/>
      <c r="Z2247" s="263"/>
      <c r="AB2247" s="265" t="str">
        <f t="shared" si="320"/>
        <v/>
      </c>
    </row>
    <row r="2248" spans="1:28" s="264" customFormat="1" ht="20.399999999999999">
      <c r="A2248" s="207"/>
      <c r="B2248" s="208"/>
      <c r="C2248" s="212"/>
      <c r="D2248" s="270"/>
      <c r="E2248" s="208"/>
      <c r="F2248" s="208"/>
      <c r="G2248" s="208"/>
      <c r="H2248" s="209"/>
      <c r="I2248" s="210"/>
      <c r="J2248" s="210"/>
      <c r="K2248" s="260"/>
      <c r="L2248" s="260"/>
      <c r="M2248" s="260"/>
      <c r="N2248" s="260"/>
      <c r="O2248" s="260"/>
      <c r="P2248" s="211"/>
      <c r="Q2248" s="261"/>
      <c r="R2248" s="208" t="str">
        <f ca="1">IF(ISERROR($V2248),"",OFFSET('Smelter Look-up'!$C$4,$V2248-4,0)&amp;"")</f>
        <v/>
      </c>
      <c r="S2248" s="215" t="str">
        <f t="shared" ca="1" si="318"/>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si="319"/>
        <v>0</v>
      </c>
      <c r="Y2248" s="263"/>
      <c r="Z2248" s="263"/>
      <c r="AB2248" s="265" t="str">
        <f t="shared" si="320"/>
        <v/>
      </c>
    </row>
    <row r="2249" spans="1:28" s="264" customFormat="1" ht="20.399999999999999">
      <c r="A2249" s="207"/>
      <c r="B2249" s="208"/>
      <c r="C2249" s="212"/>
      <c r="D2249" s="270"/>
      <c r="E2249" s="208"/>
      <c r="F2249" s="208"/>
      <c r="G2249" s="208"/>
      <c r="H2249" s="209"/>
      <c r="I2249" s="210"/>
      <c r="J2249" s="210"/>
      <c r="K2249" s="260"/>
      <c r="L2249" s="260"/>
      <c r="M2249" s="260"/>
      <c r="N2249" s="260"/>
      <c r="O2249" s="260"/>
      <c r="P2249" s="211"/>
      <c r="Q2249" s="261"/>
      <c r="R2249" s="208" t="str">
        <f ca="1">IF(ISERROR($V2249),"",OFFSET('Smelter Look-up'!$C$4,$V2249-4,0)&amp;"")</f>
        <v/>
      </c>
      <c r="S2249" s="215" t="str">
        <f t="shared" ca="1" si="318"/>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si="319"/>
        <v>0</v>
      </c>
      <c r="Y2249" s="263"/>
      <c r="Z2249" s="263"/>
      <c r="AB2249" s="265" t="str">
        <f t="shared" si="320"/>
        <v/>
      </c>
    </row>
    <row r="2250" spans="1:28" s="264" customFormat="1" ht="20.399999999999999">
      <c r="A2250" s="207"/>
      <c r="B2250" s="208"/>
      <c r="C2250" s="212"/>
      <c r="D2250" s="270"/>
      <c r="E2250" s="208"/>
      <c r="F2250" s="208"/>
      <c r="G2250" s="208"/>
      <c r="H2250" s="209"/>
      <c r="I2250" s="210"/>
      <c r="J2250" s="210"/>
      <c r="K2250" s="260"/>
      <c r="L2250" s="260"/>
      <c r="M2250" s="260"/>
      <c r="N2250" s="260"/>
      <c r="O2250" s="260"/>
      <c r="P2250" s="211"/>
      <c r="Q2250" s="261"/>
      <c r="R2250" s="208" t="str">
        <f ca="1">IF(ISERROR($V2250),"",OFFSET('Smelter Look-up'!$C$4,$V2250-4,0)&amp;"")</f>
        <v/>
      </c>
      <c r="S2250" s="215" t="str">
        <f t="shared" ca="1" si="318"/>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si="319"/>
        <v>0</v>
      </c>
      <c r="Y2250" s="263"/>
      <c r="Z2250" s="263"/>
      <c r="AB2250" s="265" t="str">
        <f t="shared" si="320"/>
        <v/>
      </c>
    </row>
    <row r="2251" spans="1:28" s="264" customFormat="1" ht="20.399999999999999">
      <c r="A2251" s="207"/>
      <c r="B2251" s="208"/>
      <c r="C2251" s="212"/>
      <c r="D2251" s="270"/>
      <c r="E2251" s="208"/>
      <c r="F2251" s="208"/>
      <c r="G2251" s="208"/>
      <c r="H2251" s="209"/>
      <c r="I2251" s="210"/>
      <c r="J2251" s="210"/>
      <c r="K2251" s="260"/>
      <c r="L2251" s="260"/>
      <c r="M2251" s="260"/>
      <c r="N2251" s="260"/>
      <c r="O2251" s="260"/>
      <c r="P2251" s="211"/>
      <c r="Q2251" s="261"/>
      <c r="R2251" s="208" t="str">
        <f ca="1">IF(ISERROR($V2251),"",OFFSET('Smelter Look-up'!$C$4,$V2251-4,0)&amp;"")</f>
        <v/>
      </c>
      <c r="S2251" s="215" t="str">
        <f t="shared" ca="1" si="318"/>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si="319"/>
        <v>0</v>
      </c>
      <c r="Y2251" s="263"/>
      <c r="Z2251" s="263"/>
      <c r="AB2251" s="265" t="str">
        <f t="shared" si="320"/>
        <v/>
      </c>
    </row>
    <row r="2252" spans="1:28" s="264" customFormat="1" ht="20.399999999999999">
      <c r="A2252" s="207"/>
      <c r="B2252" s="208"/>
      <c r="C2252" s="212"/>
      <c r="D2252" s="270"/>
      <c r="E2252" s="208"/>
      <c r="F2252" s="208"/>
      <c r="G2252" s="208"/>
      <c r="H2252" s="209"/>
      <c r="I2252" s="210"/>
      <c r="J2252" s="210"/>
      <c r="K2252" s="260"/>
      <c r="L2252" s="260"/>
      <c r="M2252" s="260"/>
      <c r="N2252" s="260"/>
      <c r="O2252" s="260"/>
      <c r="P2252" s="211"/>
      <c r="Q2252" s="261"/>
      <c r="R2252" s="208" t="str">
        <f ca="1">IF(ISERROR($V2252),"",OFFSET('Smelter Look-up'!$C$4,$V2252-4,0)&amp;"")</f>
        <v/>
      </c>
      <c r="S2252" s="215" t="str">
        <f t="shared" ca="1" si="318"/>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si="319"/>
        <v>0</v>
      </c>
      <c r="Y2252" s="263"/>
      <c r="Z2252" s="263"/>
      <c r="AB2252" s="265" t="str">
        <f t="shared" si="320"/>
        <v/>
      </c>
    </row>
    <row r="2253" spans="1:28" s="264" customFormat="1" ht="20.399999999999999">
      <c r="A2253" s="207"/>
      <c r="B2253" s="208"/>
      <c r="C2253" s="212"/>
      <c r="D2253" s="270"/>
      <c r="E2253" s="208"/>
      <c r="F2253" s="208"/>
      <c r="G2253" s="208"/>
      <c r="H2253" s="209"/>
      <c r="I2253" s="210"/>
      <c r="J2253" s="210"/>
      <c r="K2253" s="260"/>
      <c r="L2253" s="260"/>
      <c r="M2253" s="260"/>
      <c r="N2253" s="260"/>
      <c r="O2253" s="260"/>
      <c r="P2253" s="211"/>
      <c r="Q2253" s="261"/>
      <c r="R2253" s="208" t="str">
        <f ca="1">IF(ISERROR($V2253),"",OFFSET('Smelter Look-up'!$C$4,$V2253-4,0)&amp;"")</f>
        <v/>
      </c>
      <c r="S2253" s="215" t="str">
        <f t="shared" ca="1" si="318"/>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si="319"/>
        <v>0</v>
      </c>
      <c r="Y2253" s="263"/>
      <c r="Z2253" s="263"/>
      <c r="AB2253" s="265" t="str">
        <f t="shared" si="320"/>
        <v/>
      </c>
    </row>
    <row r="2254" spans="1:28" s="264" customFormat="1" ht="20.399999999999999">
      <c r="A2254" s="207"/>
      <c r="B2254" s="208"/>
      <c r="C2254" s="212"/>
      <c r="D2254" s="270"/>
      <c r="E2254" s="208"/>
      <c r="F2254" s="208"/>
      <c r="G2254" s="208"/>
      <c r="H2254" s="209"/>
      <c r="I2254" s="210"/>
      <c r="J2254" s="210"/>
      <c r="K2254" s="260"/>
      <c r="L2254" s="260"/>
      <c r="M2254" s="260"/>
      <c r="N2254" s="260"/>
      <c r="O2254" s="260"/>
      <c r="P2254" s="211"/>
      <c r="Q2254" s="261"/>
      <c r="R2254" s="208" t="str">
        <f ca="1">IF(ISERROR($V2254),"",OFFSET('Smelter Look-up'!$C$4,$V2254-4,0)&amp;"")</f>
        <v/>
      </c>
      <c r="S2254" s="215" t="str">
        <f t="shared" ca="1" si="318"/>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si="319"/>
        <v>0</v>
      </c>
      <c r="Y2254" s="263"/>
      <c r="Z2254" s="263"/>
      <c r="AB2254" s="265" t="str">
        <f t="shared" si="320"/>
        <v/>
      </c>
    </row>
    <row r="2255" spans="1:28" s="264" customFormat="1" ht="20.399999999999999">
      <c r="A2255" s="207"/>
      <c r="B2255" s="208"/>
      <c r="C2255" s="212"/>
      <c r="D2255" s="270"/>
      <c r="E2255" s="208"/>
      <c r="F2255" s="208"/>
      <c r="G2255" s="208"/>
      <c r="H2255" s="209"/>
      <c r="I2255" s="210"/>
      <c r="J2255" s="210"/>
      <c r="K2255" s="260"/>
      <c r="L2255" s="260"/>
      <c r="M2255" s="260"/>
      <c r="N2255" s="260"/>
      <c r="O2255" s="260"/>
      <c r="P2255" s="211"/>
      <c r="Q2255" s="261"/>
      <c r="R2255" s="208" t="str">
        <f ca="1">IF(ISERROR($V2255),"",OFFSET('Smelter Look-up'!$C$4,$V2255-4,0)&amp;"")</f>
        <v/>
      </c>
      <c r="S2255" s="215" t="str">
        <f t="shared" ca="1" si="318"/>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si="319"/>
        <v>0</v>
      </c>
      <c r="Y2255" s="263"/>
      <c r="Z2255" s="263"/>
      <c r="AB2255" s="265" t="str">
        <f t="shared" si="320"/>
        <v/>
      </c>
    </row>
    <row r="2256" spans="1:28" s="264" customFormat="1" ht="20.399999999999999">
      <c r="A2256" s="207"/>
      <c r="B2256" s="208"/>
      <c r="C2256" s="212"/>
      <c r="D2256" s="270"/>
      <c r="E2256" s="208"/>
      <c r="F2256" s="208"/>
      <c r="G2256" s="208"/>
      <c r="H2256" s="209"/>
      <c r="I2256" s="210"/>
      <c r="J2256" s="210"/>
      <c r="K2256" s="260"/>
      <c r="L2256" s="260"/>
      <c r="M2256" s="260"/>
      <c r="N2256" s="260"/>
      <c r="O2256" s="260"/>
      <c r="P2256" s="211"/>
      <c r="Q2256" s="261"/>
      <c r="R2256" s="208" t="str">
        <f ca="1">IF(ISERROR($V2256),"",OFFSET('Smelter Look-up'!$C$4,$V2256-4,0)&amp;"")</f>
        <v/>
      </c>
      <c r="S2256" s="215" t="str">
        <f t="shared" ca="1" si="318"/>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si="319"/>
        <v>0</v>
      </c>
      <c r="Y2256" s="263"/>
      <c r="Z2256" s="263"/>
      <c r="AB2256" s="265" t="str">
        <f t="shared" si="320"/>
        <v/>
      </c>
    </row>
    <row r="2257" spans="1:28" s="264" customFormat="1" ht="20.399999999999999">
      <c r="A2257" s="207"/>
      <c r="B2257" s="208"/>
      <c r="C2257" s="212"/>
      <c r="D2257" s="270"/>
      <c r="E2257" s="208"/>
      <c r="F2257" s="208"/>
      <c r="G2257" s="208"/>
      <c r="H2257" s="209"/>
      <c r="I2257" s="210"/>
      <c r="J2257" s="210"/>
      <c r="K2257" s="260"/>
      <c r="L2257" s="260"/>
      <c r="M2257" s="260"/>
      <c r="N2257" s="260"/>
      <c r="O2257" s="260"/>
      <c r="P2257" s="211"/>
      <c r="Q2257" s="261"/>
      <c r="R2257" s="208" t="str">
        <f ca="1">IF(ISERROR($V2257),"",OFFSET('Smelter Look-up'!$C$4,$V2257-4,0)&amp;"")</f>
        <v/>
      </c>
      <c r="S2257" s="215" t="str">
        <f t="shared" ca="1" si="318"/>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si="319"/>
        <v>0</v>
      </c>
      <c r="Y2257" s="263"/>
      <c r="Z2257" s="263"/>
      <c r="AB2257" s="265" t="str">
        <f t="shared" si="320"/>
        <v/>
      </c>
    </row>
    <row r="2258" spans="1:28" s="264" customFormat="1" ht="20.399999999999999">
      <c r="A2258" s="207"/>
      <c r="B2258" s="208"/>
      <c r="C2258" s="212"/>
      <c r="D2258" s="270"/>
      <c r="E2258" s="208"/>
      <c r="F2258" s="208"/>
      <c r="G2258" s="208"/>
      <c r="H2258" s="209"/>
      <c r="I2258" s="210"/>
      <c r="J2258" s="210"/>
      <c r="K2258" s="260"/>
      <c r="L2258" s="260"/>
      <c r="M2258" s="260"/>
      <c r="N2258" s="260"/>
      <c r="O2258" s="260"/>
      <c r="P2258" s="211"/>
      <c r="Q2258" s="261"/>
      <c r="R2258" s="208" t="str">
        <f ca="1">IF(ISERROR($V2258),"",OFFSET('Smelter Look-up'!$C$4,$V2258-4,0)&amp;"")</f>
        <v/>
      </c>
      <c r="S2258" s="215" t="str">
        <f t="shared" ca="1" si="318"/>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si="319"/>
        <v>0</v>
      </c>
      <c r="Y2258" s="263"/>
      <c r="Z2258" s="263"/>
      <c r="AB2258" s="265" t="str">
        <f t="shared" si="320"/>
        <v/>
      </c>
    </row>
    <row r="2259" spans="1:28" s="264" customFormat="1" ht="20.399999999999999">
      <c r="A2259" s="207"/>
      <c r="B2259" s="208"/>
      <c r="C2259" s="212"/>
      <c r="D2259" s="270"/>
      <c r="E2259" s="208"/>
      <c r="F2259" s="208"/>
      <c r="G2259" s="208"/>
      <c r="H2259" s="209"/>
      <c r="I2259" s="210"/>
      <c r="J2259" s="210"/>
      <c r="K2259" s="260"/>
      <c r="L2259" s="260"/>
      <c r="M2259" s="260"/>
      <c r="N2259" s="260"/>
      <c r="O2259" s="260"/>
      <c r="P2259" s="211"/>
      <c r="Q2259" s="261"/>
      <c r="R2259" s="208" t="str">
        <f ca="1">IF(ISERROR($V2259),"",OFFSET('Smelter Look-up'!$C$4,$V2259-4,0)&amp;"")</f>
        <v/>
      </c>
      <c r="S2259" s="215" t="str">
        <f t="shared" ca="1" si="318"/>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si="319"/>
        <v>0</v>
      </c>
      <c r="Y2259" s="263"/>
      <c r="Z2259" s="263"/>
      <c r="AB2259" s="265" t="str">
        <f t="shared" si="320"/>
        <v/>
      </c>
    </row>
    <row r="2260" spans="1:28" s="264" customFormat="1" ht="20.399999999999999">
      <c r="A2260" s="207"/>
      <c r="B2260" s="208"/>
      <c r="C2260" s="212"/>
      <c r="D2260" s="270"/>
      <c r="E2260" s="208"/>
      <c r="F2260" s="208"/>
      <c r="G2260" s="208"/>
      <c r="H2260" s="209"/>
      <c r="I2260" s="210"/>
      <c r="J2260" s="210"/>
      <c r="K2260" s="260"/>
      <c r="L2260" s="260"/>
      <c r="M2260" s="260"/>
      <c r="N2260" s="260"/>
      <c r="O2260" s="260"/>
      <c r="P2260" s="211"/>
      <c r="Q2260" s="261"/>
      <c r="R2260" s="208" t="str">
        <f ca="1">IF(ISERROR($V2260),"",OFFSET('Smelter Look-up'!$C$4,$V2260-4,0)&amp;"")</f>
        <v/>
      </c>
      <c r="S2260" s="215" t="str">
        <f t="shared" ca="1" si="318"/>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si="319"/>
        <v>0</v>
      </c>
      <c r="Y2260" s="263"/>
      <c r="Z2260" s="263"/>
      <c r="AB2260" s="265" t="str">
        <f t="shared" si="320"/>
        <v/>
      </c>
    </row>
    <row r="2261" spans="1:28" s="264" customFormat="1" ht="20.399999999999999">
      <c r="A2261" s="207"/>
      <c r="B2261" s="208"/>
      <c r="C2261" s="212"/>
      <c r="D2261" s="270"/>
      <c r="E2261" s="208"/>
      <c r="F2261" s="208"/>
      <c r="G2261" s="208"/>
      <c r="H2261" s="209"/>
      <c r="I2261" s="210"/>
      <c r="J2261" s="210"/>
      <c r="K2261" s="260"/>
      <c r="L2261" s="260"/>
      <c r="M2261" s="260"/>
      <c r="N2261" s="260"/>
      <c r="O2261" s="260"/>
      <c r="P2261" s="211"/>
      <c r="Q2261" s="261"/>
      <c r="R2261" s="208" t="str">
        <f ca="1">IF(ISERROR($V2261),"",OFFSET('Smelter Look-up'!$C$4,$V2261-4,0)&amp;"")</f>
        <v/>
      </c>
      <c r="S2261" s="215" t="str">
        <f t="shared" ca="1" si="318"/>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si="319"/>
        <v>0</v>
      </c>
      <c r="Y2261" s="263"/>
      <c r="Z2261" s="263"/>
      <c r="AB2261" s="265" t="str">
        <f t="shared" si="320"/>
        <v/>
      </c>
    </row>
    <row r="2262" spans="1:28" s="264" customFormat="1" ht="20.399999999999999">
      <c r="A2262" s="207"/>
      <c r="B2262" s="208"/>
      <c r="C2262" s="212"/>
      <c r="D2262" s="270"/>
      <c r="E2262" s="208"/>
      <c r="F2262" s="208"/>
      <c r="G2262" s="208"/>
      <c r="H2262" s="209"/>
      <c r="I2262" s="210"/>
      <c r="J2262" s="210"/>
      <c r="K2262" s="260"/>
      <c r="L2262" s="260"/>
      <c r="M2262" s="260"/>
      <c r="N2262" s="260"/>
      <c r="O2262" s="260"/>
      <c r="P2262" s="211"/>
      <c r="Q2262" s="261"/>
      <c r="R2262" s="208" t="str">
        <f ca="1">IF(ISERROR($V2262),"",OFFSET('Smelter Look-up'!$C$4,$V2262-4,0)&amp;"")</f>
        <v/>
      </c>
      <c r="S2262" s="215" t="str">
        <f t="shared" ca="1" si="318"/>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si="319"/>
        <v>0</v>
      </c>
      <c r="Y2262" s="263"/>
      <c r="Z2262" s="263"/>
      <c r="AB2262" s="265" t="str">
        <f t="shared" si="320"/>
        <v/>
      </c>
    </row>
    <row r="2263" spans="1:28" s="264" customFormat="1" ht="20.399999999999999">
      <c r="A2263" s="207"/>
      <c r="B2263" s="208"/>
      <c r="C2263" s="212"/>
      <c r="D2263" s="270"/>
      <c r="E2263" s="208"/>
      <c r="F2263" s="208"/>
      <c r="G2263" s="208"/>
      <c r="H2263" s="209"/>
      <c r="I2263" s="210"/>
      <c r="J2263" s="210"/>
      <c r="K2263" s="260"/>
      <c r="L2263" s="260"/>
      <c r="M2263" s="260"/>
      <c r="N2263" s="260"/>
      <c r="O2263" s="260"/>
      <c r="P2263" s="211"/>
      <c r="Q2263" s="261"/>
      <c r="R2263" s="208" t="str">
        <f ca="1">IF(ISERROR($V2263),"",OFFSET('Smelter Look-up'!$C$4,$V2263-4,0)&amp;"")</f>
        <v/>
      </c>
      <c r="S2263" s="215" t="str">
        <f t="shared" ca="1" si="318"/>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si="319"/>
        <v>0</v>
      </c>
      <c r="Y2263" s="263"/>
      <c r="Z2263" s="263"/>
      <c r="AB2263" s="265" t="str">
        <f t="shared" si="320"/>
        <v/>
      </c>
    </row>
    <row r="2264" spans="1:28" s="264" customFormat="1" ht="20.399999999999999">
      <c r="A2264" s="207"/>
      <c r="B2264" s="208"/>
      <c r="C2264" s="212"/>
      <c r="D2264" s="270"/>
      <c r="E2264" s="208"/>
      <c r="F2264" s="208"/>
      <c r="G2264" s="208"/>
      <c r="H2264" s="209"/>
      <c r="I2264" s="210"/>
      <c r="J2264" s="210"/>
      <c r="K2264" s="260"/>
      <c r="L2264" s="260"/>
      <c r="M2264" s="260"/>
      <c r="N2264" s="260"/>
      <c r="O2264" s="260"/>
      <c r="P2264" s="211"/>
      <c r="Q2264" s="261"/>
      <c r="R2264" s="208" t="str">
        <f ca="1">IF(ISERROR($V2264),"",OFFSET('Smelter Look-up'!$C$4,$V2264-4,0)&amp;"")</f>
        <v/>
      </c>
      <c r="S2264" s="215" t="str">
        <f t="shared" ca="1" si="318"/>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si="319"/>
        <v>0</v>
      </c>
      <c r="Y2264" s="263"/>
      <c r="Z2264" s="263"/>
      <c r="AB2264" s="265" t="str">
        <f t="shared" si="320"/>
        <v/>
      </c>
    </row>
    <row r="2265" spans="1:28" s="264" customFormat="1" ht="20.399999999999999">
      <c r="A2265" s="207"/>
      <c r="B2265" s="208"/>
      <c r="C2265" s="212"/>
      <c r="D2265" s="270"/>
      <c r="E2265" s="208"/>
      <c r="F2265" s="208"/>
      <c r="G2265" s="208"/>
      <c r="H2265" s="209"/>
      <c r="I2265" s="210"/>
      <c r="J2265" s="210"/>
      <c r="K2265" s="260"/>
      <c r="L2265" s="260"/>
      <c r="M2265" s="260"/>
      <c r="N2265" s="260"/>
      <c r="O2265" s="260"/>
      <c r="P2265" s="211"/>
      <c r="Q2265" s="261"/>
      <c r="R2265" s="208" t="str">
        <f ca="1">IF(ISERROR($V2265),"",OFFSET('Smelter Look-up'!$C$4,$V2265-4,0)&amp;"")</f>
        <v/>
      </c>
      <c r="S2265" s="215" t="str">
        <f t="shared" ca="1" si="318"/>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si="319"/>
        <v>0</v>
      </c>
      <c r="Y2265" s="263"/>
      <c r="Z2265" s="263"/>
      <c r="AB2265" s="265" t="str">
        <f t="shared" si="320"/>
        <v/>
      </c>
    </row>
    <row r="2266" spans="1:28" s="264" customFormat="1" ht="20.399999999999999">
      <c r="A2266" s="207"/>
      <c r="B2266" s="208"/>
      <c r="C2266" s="212"/>
      <c r="D2266" s="270"/>
      <c r="E2266" s="208"/>
      <c r="F2266" s="208"/>
      <c r="G2266" s="208"/>
      <c r="H2266" s="209"/>
      <c r="I2266" s="210"/>
      <c r="J2266" s="210"/>
      <c r="K2266" s="260"/>
      <c r="L2266" s="260"/>
      <c r="M2266" s="260"/>
      <c r="N2266" s="260"/>
      <c r="O2266" s="260"/>
      <c r="P2266" s="211"/>
      <c r="Q2266" s="261"/>
      <c r="R2266" s="208" t="str">
        <f ca="1">IF(ISERROR($V2266),"",OFFSET('Smelter Look-up'!$C$4,$V2266-4,0)&amp;"")</f>
        <v/>
      </c>
      <c r="S2266" s="215" t="str">
        <f t="shared" ca="1" si="318"/>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si="319"/>
        <v>0</v>
      </c>
      <c r="Y2266" s="263"/>
      <c r="Z2266" s="263"/>
      <c r="AB2266" s="265" t="str">
        <f t="shared" si="320"/>
        <v/>
      </c>
    </row>
    <row r="2267" spans="1:28" s="264" customFormat="1" ht="20.399999999999999">
      <c r="A2267" s="207"/>
      <c r="B2267" s="208"/>
      <c r="C2267" s="212"/>
      <c r="D2267" s="270"/>
      <c r="E2267" s="208"/>
      <c r="F2267" s="208"/>
      <c r="G2267" s="208"/>
      <c r="H2267" s="209"/>
      <c r="I2267" s="210"/>
      <c r="J2267" s="210"/>
      <c r="K2267" s="260"/>
      <c r="L2267" s="260"/>
      <c r="M2267" s="260"/>
      <c r="N2267" s="260"/>
      <c r="O2267" s="260"/>
      <c r="P2267" s="211"/>
      <c r="Q2267" s="261"/>
      <c r="R2267" s="208" t="str">
        <f ca="1">IF(ISERROR($V2267),"",OFFSET('Smelter Look-up'!$C$4,$V2267-4,0)&amp;"")</f>
        <v/>
      </c>
      <c r="S2267" s="215" t="str">
        <f t="shared" ca="1" si="318"/>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si="319"/>
        <v>0</v>
      </c>
      <c r="Y2267" s="263"/>
      <c r="Z2267" s="263"/>
      <c r="AB2267" s="265" t="str">
        <f t="shared" si="320"/>
        <v/>
      </c>
    </row>
    <row r="2268" spans="1:28" s="264" customFormat="1" ht="20.399999999999999">
      <c r="A2268" s="207"/>
      <c r="B2268" s="208"/>
      <c r="C2268" s="212"/>
      <c r="D2268" s="270"/>
      <c r="E2268" s="208"/>
      <c r="F2268" s="208"/>
      <c r="G2268" s="208"/>
      <c r="H2268" s="209"/>
      <c r="I2268" s="210"/>
      <c r="J2268" s="210"/>
      <c r="K2268" s="260"/>
      <c r="L2268" s="260"/>
      <c r="M2268" s="260"/>
      <c r="N2268" s="260"/>
      <c r="O2268" s="260"/>
      <c r="P2268" s="211"/>
      <c r="Q2268" s="261"/>
      <c r="R2268" s="208" t="str">
        <f ca="1">IF(ISERROR($V2268),"",OFFSET('Smelter Look-up'!$C$4,$V2268-4,0)&amp;"")</f>
        <v/>
      </c>
      <c r="S2268" s="215" t="str">
        <f t="shared" ref="S2268:S2298" ca="1" si="321">IF(B2268="","",IF(ISERROR(MATCH($E2268,CL,0)),"Unknown",INDIRECT("'C'!$A$"&amp;MATCH($E2268,CL,0)+1)))</f>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ref="X2268:X2298" si="322">IF(AND(C2268="Smelter not listed",OR(LEN(D2268)=0,LEN(E2268)=0)),1,0)</f>
        <v>0</v>
      </c>
      <c r="Y2268" s="263"/>
      <c r="Z2268" s="263"/>
      <c r="AB2268" s="265" t="str">
        <f t="shared" ref="AB2268:AB2298" si="323">B2268&amp;C2268</f>
        <v/>
      </c>
    </row>
    <row r="2269" spans="1:28" s="264" customFormat="1" ht="20.399999999999999">
      <c r="A2269" s="207"/>
      <c r="B2269" s="208"/>
      <c r="C2269" s="212"/>
      <c r="D2269" s="270"/>
      <c r="E2269" s="208"/>
      <c r="F2269" s="208"/>
      <c r="G2269" s="208"/>
      <c r="H2269" s="209"/>
      <c r="I2269" s="210"/>
      <c r="J2269" s="210"/>
      <c r="K2269" s="260"/>
      <c r="L2269" s="260"/>
      <c r="M2269" s="260"/>
      <c r="N2269" s="260"/>
      <c r="O2269" s="260"/>
      <c r="P2269" s="211"/>
      <c r="Q2269" s="261"/>
      <c r="R2269" s="208" t="str">
        <f ca="1">IF(ISERROR($V2269),"",OFFSET('Smelter Look-up'!$C$4,$V2269-4,0)&amp;"")</f>
        <v/>
      </c>
      <c r="S2269" s="215" t="str">
        <f t="shared" ca="1" si="321"/>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si="322"/>
        <v>0</v>
      </c>
      <c r="Y2269" s="263"/>
      <c r="Z2269" s="263"/>
      <c r="AB2269" s="265" t="str">
        <f t="shared" si="323"/>
        <v/>
      </c>
    </row>
    <row r="2270" spans="1:28" s="264" customFormat="1" ht="20.399999999999999">
      <c r="A2270" s="207"/>
      <c r="B2270" s="208"/>
      <c r="C2270" s="212"/>
      <c r="D2270" s="270"/>
      <c r="E2270" s="208"/>
      <c r="F2270" s="208"/>
      <c r="G2270" s="208"/>
      <c r="H2270" s="209"/>
      <c r="I2270" s="210"/>
      <c r="J2270" s="210"/>
      <c r="K2270" s="260"/>
      <c r="L2270" s="260"/>
      <c r="M2270" s="260"/>
      <c r="N2270" s="260"/>
      <c r="O2270" s="260"/>
      <c r="P2270" s="211"/>
      <c r="Q2270" s="261"/>
      <c r="R2270" s="208" t="str">
        <f ca="1">IF(ISERROR($V2270),"",OFFSET('Smelter Look-up'!$C$4,$V2270-4,0)&amp;"")</f>
        <v/>
      </c>
      <c r="S2270" s="215" t="str">
        <f t="shared" ca="1" si="321"/>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si="322"/>
        <v>0</v>
      </c>
      <c r="Y2270" s="263"/>
      <c r="Z2270" s="263"/>
      <c r="AB2270" s="265" t="str">
        <f t="shared" si="323"/>
        <v/>
      </c>
    </row>
    <row r="2271" spans="1:28" s="264" customFormat="1" ht="20.399999999999999">
      <c r="A2271" s="207"/>
      <c r="B2271" s="208"/>
      <c r="C2271" s="212"/>
      <c r="D2271" s="270"/>
      <c r="E2271" s="208"/>
      <c r="F2271" s="208"/>
      <c r="G2271" s="208"/>
      <c r="H2271" s="209"/>
      <c r="I2271" s="210"/>
      <c r="J2271" s="210"/>
      <c r="K2271" s="260"/>
      <c r="L2271" s="260"/>
      <c r="M2271" s="260"/>
      <c r="N2271" s="260"/>
      <c r="O2271" s="260"/>
      <c r="P2271" s="211"/>
      <c r="Q2271" s="261"/>
      <c r="R2271" s="208" t="str">
        <f ca="1">IF(ISERROR($V2271),"",OFFSET('Smelter Look-up'!$C$4,$V2271-4,0)&amp;"")</f>
        <v/>
      </c>
      <c r="S2271" s="215" t="str">
        <f t="shared" ca="1" si="321"/>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si="322"/>
        <v>0</v>
      </c>
      <c r="Y2271" s="263"/>
      <c r="Z2271" s="263"/>
      <c r="AB2271" s="265" t="str">
        <f t="shared" si="323"/>
        <v/>
      </c>
    </row>
    <row r="2272" spans="1:28" s="264" customFormat="1" ht="20.399999999999999">
      <c r="A2272" s="207"/>
      <c r="B2272" s="208"/>
      <c r="C2272" s="212"/>
      <c r="D2272" s="270"/>
      <c r="E2272" s="208"/>
      <c r="F2272" s="208"/>
      <c r="G2272" s="208"/>
      <c r="H2272" s="209"/>
      <c r="I2272" s="210"/>
      <c r="J2272" s="210"/>
      <c r="K2272" s="260"/>
      <c r="L2272" s="260"/>
      <c r="M2272" s="260"/>
      <c r="N2272" s="260"/>
      <c r="O2272" s="260"/>
      <c r="P2272" s="211"/>
      <c r="Q2272" s="261"/>
      <c r="R2272" s="208" t="str">
        <f ca="1">IF(ISERROR($V2272),"",OFFSET('Smelter Look-up'!$C$4,$V2272-4,0)&amp;"")</f>
        <v/>
      </c>
      <c r="S2272" s="215" t="str">
        <f t="shared" ca="1" si="321"/>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si="322"/>
        <v>0</v>
      </c>
      <c r="Y2272" s="263"/>
      <c r="Z2272" s="263"/>
      <c r="AB2272" s="265" t="str">
        <f t="shared" si="323"/>
        <v/>
      </c>
    </row>
    <row r="2273" spans="1:28" s="264" customFormat="1" ht="20.399999999999999">
      <c r="A2273" s="207"/>
      <c r="B2273" s="208"/>
      <c r="C2273" s="212"/>
      <c r="D2273" s="270"/>
      <c r="E2273" s="208"/>
      <c r="F2273" s="208"/>
      <c r="G2273" s="208"/>
      <c r="H2273" s="209"/>
      <c r="I2273" s="210"/>
      <c r="J2273" s="210"/>
      <c r="K2273" s="260"/>
      <c r="L2273" s="260"/>
      <c r="M2273" s="260"/>
      <c r="N2273" s="260"/>
      <c r="O2273" s="260"/>
      <c r="P2273" s="211"/>
      <c r="Q2273" s="261"/>
      <c r="R2273" s="208" t="str">
        <f ca="1">IF(ISERROR($V2273),"",OFFSET('Smelter Look-up'!$C$4,$V2273-4,0)&amp;"")</f>
        <v/>
      </c>
      <c r="S2273" s="215" t="str">
        <f t="shared" ca="1" si="321"/>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si="322"/>
        <v>0</v>
      </c>
      <c r="Y2273" s="263"/>
      <c r="Z2273" s="263"/>
      <c r="AB2273" s="265" t="str">
        <f t="shared" si="323"/>
        <v/>
      </c>
    </row>
    <row r="2274" spans="1:28" s="264" customFormat="1" ht="20.399999999999999">
      <c r="A2274" s="207"/>
      <c r="B2274" s="208"/>
      <c r="C2274" s="212"/>
      <c r="D2274" s="270"/>
      <c r="E2274" s="208"/>
      <c r="F2274" s="208"/>
      <c r="G2274" s="208"/>
      <c r="H2274" s="209"/>
      <c r="I2274" s="210"/>
      <c r="J2274" s="210"/>
      <c r="K2274" s="260"/>
      <c r="L2274" s="260"/>
      <c r="M2274" s="260"/>
      <c r="N2274" s="260"/>
      <c r="O2274" s="260"/>
      <c r="P2274" s="211"/>
      <c r="Q2274" s="261"/>
      <c r="R2274" s="208" t="str">
        <f ca="1">IF(ISERROR($V2274),"",OFFSET('Smelter Look-up'!$C$4,$V2274-4,0)&amp;"")</f>
        <v/>
      </c>
      <c r="S2274" s="215" t="str">
        <f t="shared" ca="1" si="321"/>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si="322"/>
        <v>0</v>
      </c>
      <c r="Y2274" s="263"/>
      <c r="Z2274" s="263"/>
      <c r="AB2274" s="265" t="str">
        <f t="shared" si="323"/>
        <v/>
      </c>
    </row>
    <row r="2275" spans="1:28" s="264" customFormat="1" ht="20.399999999999999">
      <c r="A2275" s="207"/>
      <c r="B2275" s="208"/>
      <c r="C2275" s="212"/>
      <c r="D2275" s="270"/>
      <c r="E2275" s="208"/>
      <c r="F2275" s="208"/>
      <c r="G2275" s="208"/>
      <c r="H2275" s="209"/>
      <c r="I2275" s="210"/>
      <c r="J2275" s="210"/>
      <c r="K2275" s="260"/>
      <c r="L2275" s="260"/>
      <c r="M2275" s="260"/>
      <c r="N2275" s="260"/>
      <c r="O2275" s="260"/>
      <c r="P2275" s="211"/>
      <c r="Q2275" s="261"/>
      <c r="R2275" s="208" t="str">
        <f ca="1">IF(ISERROR($V2275),"",OFFSET('Smelter Look-up'!$C$4,$V2275-4,0)&amp;"")</f>
        <v/>
      </c>
      <c r="S2275" s="215" t="str">
        <f t="shared" ca="1" si="321"/>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si="322"/>
        <v>0</v>
      </c>
      <c r="Y2275" s="263"/>
      <c r="Z2275" s="263"/>
      <c r="AB2275" s="265" t="str">
        <f t="shared" si="323"/>
        <v/>
      </c>
    </row>
    <row r="2276" spans="1:28" s="264" customFormat="1" ht="20.399999999999999">
      <c r="A2276" s="207"/>
      <c r="B2276" s="208"/>
      <c r="C2276" s="212"/>
      <c r="D2276" s="270"/>
      <c r="E2276" s="208"/>
      <c r="F2276" s="208"/>
      <c r="G2276" s="208"/>
      <c r="H2276" s="209"/>
      <c r="I2276" s="210"/>
      <c r="J2276" s="210"/>
      <c r="K2276" s="260"/>
      <c r="L2276" s="260"/>
      <c r="M2276" s="260"/>
      <c r="N2276" s="260"/>
      <c r="O2276" s="260"/>
      <c r="P2276" s="211"/>
      <c r="Q2276" s="261"/>
      <c r="R2276" s="208" t="str">
        <f ca="1">IF(ISERROR($V2276),"",OFFSET('Smelter Look-up'!$C$4,$V2276-4,0)&amp;"")</f>
        <v/>
      </c>
      <c r="S2276" s="215" t="str">
        <f t="shared" ca="1" si="321"/>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si="322"/>
        <v>0</v>
      </c>
      <c r="Y2276" s="263"/>
      <c r="Z2276" s="263"/>
      <c r="AB2276" s="265" t="str">
        <f t="shared" si="323"/>
        <v/>
      </c>
    </row>
    <row r="2277" spans="1:28" s="264" customFormat="1" ht="20.399999999999999">
      <c r="A2277" s="207"/>
      <c r="B2277" s="208"/>
      <c r="C2277" s="212"/>
      <c r="D2277" s="270"/>
      <c r="E2277" s="208"/>
      <c r="F2277" s="208"/>
      <c r="G2277" s="208"/>
      <c r="H2277" s="209"/>
      <c r="I2277" s="210"/>
      <c r="J2277" s="210"/>
      <c r="K2277" s="260"/>
      <c r="L2277" s="260"/>
      <c r="M2277" s="260"/>
      <c r="N2277" s="260"/>
      <c r="O2277" s="260"/>
      <c r="P2277" s="211"/>
      <c r="Q2277" s="261"/>
      <c r="R2277" s="208" t="str">
        <f ca="1">IF(ISERROR($V2277),"",OFFSET('Smelter Look-up'!$C$4,$V2277-4,0)&amp;"")</f>
        <v/>
      </c>
      <c r="S2277" s="215" t="str">
        <f t="shared" ca="1" si="321"/>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si="322"/>
        <v>0</v>
      </c>
      <c r="Y2277" s="263"/>
      <c r="Z2277" s="263"/>
      <c r="AB2277" s="265" t="str">
        <f t="shared" si="323"/>
        <v/>
      </c>
    </row>
    <row r="2278" spans="1:28" s="264" customFormat="1" ht="20.399999999999999">
      <c r="A2278" s="207"/>
      <c r="B2278" s="208"/>
      <c r="C2278" s="212"/>
      <c r="D2278" s="270"/>
      <c r="E2278" s="208"/>
      <c r="F2278" s="208"/>
      <c r="G2278" s="208"/>
      <c r="H2278" s="209"/>
      <c r="I2278" s="210"/>
      <c r="J2278" s="210"/>
      <c r="K2278" s="260"/>
      <c r="L2278" s="260"/>
      <c r="M2278" s="260"/>
      <c r="N2278" s="260"/>
      <c r="O2278" s="260"/>
      <c r="P2278" s="211"/>
      <c r="Q2278" s="261"/>
      <c r="R2278" s="208" t="str">
        <f ca="1">IF(ISERROR($V2278),"",OFFSET('Smelter Look-up'!$C$4,$V2278-4,0)&amp;"")</f>
        <v/>
      </c>
      <c r="S2278" s="215" t="str">
        <f t="shared" ca="1" si="321"/>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si="322"/>
        <v>0</v>
      </c>
      <c r="Y2278" s="263"/>
      <c r="Z2278" s="263"/>
      <c r="AB2278" s="265" t="str">
        <f t="shared" si="323"/>
        <v/>
      </c>
    </row>
    <row r="2279" spans="1:28" s="264" customFormat="1" ht="20.399999999999999">
      <c r="A2279" s="207"/>
      <c r="B2279" s="208"/>
      <c r="C2279" s="212"/>
      <c r="D2279" s="270"/>
      <c r="E2279" s="208"/>
      <c r="F2279" s="208"/>
      <c r="G2279" s="208"/>
      <c r="H2279" s="209"/>
      <c r="I2279" s="210"/>
      <c r="J2279" s="210"/>
      <c r="K2279" s="260"/>
      <c r="L2279" s="260"/>
      <c r="M2279" s="260"/>
      <c r="N2279" s="260"/>
      <c r="O2279" s="260"/>
      <c r="P2279" s="211"/>
      <c r="Q2279" s="261"/>
      <c r="R2279" s="208" t="str">
        <f ca="1">IF(ISERROR($V2279),"",OFFSET('Smelter Look-up'!$C$4,$V2279-4,0)&amp;"")</f>
        <v/>
      </c>
      <c r="S2279" s="215" t="str">
        <f t="shared" ca="1" si="321"/>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si="322"/>
        <v>0</v>
      </c>
      <c r="Y2279" s="263"/>
      <c r="Z2279" s="263"/>
      <c r="AB2279" s="265" t="str">
        <f t="shared" si="323"/>
        <v/>
      </c>
    </row>
    <row r="2280" spans="1:28" s="264" customFormat="1" ht="20.399999999999999">
      <c r="A2280" s="207"/>
      <c r="B2280" s="208"/>
      <c r="C2280" s="212"/>
      <c r="D2280" s="270"/>
      <c r="E2280" s="208"/>
      <c r="F2280" s="208"/>
      <c r="G2280" s="208"/>
      <c r="H2280" s="209"/>
      <c r="I2280" s="210"/>
      <c r="J2280" s="210"/>
      <c r="K2280" s="260"/>
      <c r="L2280" s="260"/>
      <c r="M2280" s="260"/>
      <c r="N2280" s="260"/>
      <c r="O2280" s="260"/>
      <c r="P2280" s="211"/>
      <c r="Q2280" s="261"/>
      <c r="R2280" s="208" t="str">
        <f ca="1">IF(ISERROR($V2280),"",OFFSET('Smelter Look-up'!$C$4,$V2280-4,0)&amp;"")</f>
        <v/>
      </c>
      <c r="S2280" s="215" t="str">
        <f t="shared" ca="1" si="321"/>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si="322"/>
        <v>0</v>
      </c>
      <c r="Y2280" s="263"/>
      <c r="Z2280" s="263"/>
      <c r="AB2280" s="265" t="str">
        <f t="shared" si="323"/>
        <v/>
      </c>
    </row>
    <row r="2281" spans="1:28" s="264" customFormat="1" ht="20.399999999999999">
      <c r="A2281" s="207"/>
      <c r="B2281" s="208"/>
      <c r="C2281" s="212"/>
      <c r="D2281" s="270"/>
      <c r="E2281" s="208"/>
      <c r="F2281" s="208"/>
      <c r="G2281" s="208"/>
      <c r="H2281" s="209"/>
      <c r="I2281" s="210"/>
      <c r="J2281" s="210"/>
      <c r="K2281" s="260"/>
      <c r="L2281" s="260"/>
      <c r="M2281" s="260"/>
      <c r="N2281" s="260"/>
      <c r="O2281" s="260"/>
      <c r="P2281" s="211"/>
      <c r="Q2281" s="261"/>
      <c r="R2281" s="208" t="str">
        <f ca="1">IF(ISERROR($V2281),"",OFFSET('Smelter Look-up'!$C$4,$V2281-4,0)&amp;"")</f>
        <v/>
      </c>
      <c r="S2281" s="215" t="str">
        <f t="shared" ca="1" si="321"/>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si="322"/>
        <v>0</v>
      </c>
      <c r="Y2281" s="263"/>
      <c r="Z2281" s="263"/>
      <c r="AB2281" s="265" t="str">
        <f t="shared" si="323"/>
        <v/>
      </c>
    </row>
    <row r="2282" spans="1:28" s="264" customFormat="1" ht="20.399999999999999">
      <c r="A2282" s="207"/>
      <c r="B2282" s="208"/>
      <c r="C2282" s="212"/>
      <c r="D2282" s="270"/>
      <c r="E2282" s="208"/>
      <c r="F2282" s="208"/>
      <c r="G2282" s="208"/>
      <c r="H2282" s="209"/>
      <c r="I2282" s="210"/>
      <c r="J2282" s="210"/>
      <c r="K2282" s="260"/>
      <c r="L2282" s="260"/>
      <c r="M2282" s="260"/>
      <c r="N2282" s="260"/>
      <c r="O2282" s="260"/>
      <c r="P2282" s="211"/>
      <c r="Q2282" s="261"/>
      <c r="R2282" s="208" t="str">
        <f ca="1">IF(ISERROR($V2282),"",OFFSET('Smelter Look-up'!$C$4,$V2282-4,0)&amp;"")</f>
        <v/>
      </c>
      <c r="S2282" s="215" t="str">
        <f t="shared" ca="1" si="321"/>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si="322"/>
        <v>0</v>
      </c>
      <c r="Y2282" s="263"/>
      <c r="Z2282" s="263"/>
      <c r="AB2282" s="265" t="str">
        <f t="shared" si="323"/>
        <v/>
      </c>
    </row>
    <row r="2283" spans="1:28" s="264" customFormat="1" ht="20.399999999999999">
      <c r="A2283" s="207"/>
      <c r="B2283" s="208"/>
      <c r="C2283" s="212"/>
      <c r="D2283" s="270"/>
      <c r="E2283" s="208"/>
      <c r="F2283" s="208"/>
      <c r="G2283" s="208"/>
      <c r="H2283" s="209"/>
      <c r="I2283" s="210"/>
      <c r="J2283" s="210"/>
      <c r="K2283" s="260"/>
      <c r="L2283" s="260"/>
      <c r="M2283" s="260"/>
      <c r="N2283" s="260"/>
      <c r="O2283" s="260"/>
      <c r="P2283" s="211"/>
      <c r="Q2283" s="261"/>
      <c r="R2283" s="208" t="str">
        <f ca="1">IF(ISERROR($V2283),"",OFFSET('Smelter Look-up'!$C$4,$V2283-4,0)&amp;"")</f>
        <v/>
      </c>
      <c r="S2283" s="215" t="str">
        <f t="shared" ca="1" si="321"/>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si="322"/>
        <v>0</v>
      </c>
      <c r="Y2283" s="263"/>
      <c r="Z2283" s="263"/>
      <c r="AB2283" s="265" t="str">
        <f t="shared" si="323"/>
        <v/>
      </c>
    </row>
    <row r="2284" spans="1:28" s="264" customFormat="1" ht="20.399999999999999">
      <c r="A2284" s="207"/>
      <c r="B2284" s="208"/>
      <c r="C2284" s="212"/>
      <c r="D2284" s="270"/>
      <c r="E2284" s="208"/>
      <c r="F2284" s="208"/>
      <c r="G2284" s="208"/>
      <c r="H2284" s="209"/>
      <c r="I2284" s="210"/>
      <c r="J2284" s="210"/>
      <c r="K2284" s="260"/>
      <c r="L2284" s="260"/>
      <c r="M2284" s="260"/>
      <c r="N2284" s="260"/>
      <c r="O2284" s="260"/>
      <c r="P2284" s="211"/>
      <c r="Q2284" s="261"/>
      <c r="R2284" s="208" t="str">
        <f ca="1">IF(ISERROR($V2284),"",OFFSET('Smelter Look-up'!$C$4,$V2284-4,0)&amp;"")</f>
        <v/>
      </c>
      <c r="S2284" s="215" t="str">
        <f t="shared" ca="1" si="321"/>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si="322"/>
        <v>0</v>
      </c>
      <c r="Y2284" s="263"/>
      <c r="Z2284" s="263"/>
      <c r="AB2284" s="265" t="str">
        <f t="shared" si="323"/>
        <v/>
      </c>
    </row>
    <row r="2285" spans="1:28" s="264" customFormat="1" ht="20.399999999999999">
      <c r="A2285" s="207"/>
      <c r="B2285" s="208"/>
      <c r="C2285" s="212"/>
      <c r="D2285" s="270"/>
      <c r="E2285" s="208"/>
      <c r="F2285" s="208"/>
      <c r="G2285" s="208"/>
      <c r="H2285" s="209"/>
      <c r="I2285" s="210"/>
      <c r="J2285" s="210"/>
      <c r="K2285" s="260"/>
      <c r="L2285" s="260"/>
      <c r="M2285" s="260"/>
      <c r="N2285" s="260"/>
      <c r="O2285" s="260"/>
      <c r="P2285" s="211"/>
      <c r="Q2285" s="261"/>
      <c r="R2285" s="208" t="str">
        <f ca="1">IF(ISERROR($V2285),"",OFFSET('Smelter Look-up'!$C$4,$V2285-4,0)&amp;"")</f>
        <v/>
      </c>
      <c r="S2285" s="215" t="str">
        <f t="shared" ca="1" si="321"/>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si="322"/>
        <v>0</v>
      </c>
      <c r="Y2285" s="263"/>
      <c r="Z2285" s="263"/>
      <c r="AB2285" s="265" t="str">
        <f t="shared" si="323"/>
        <v/>
      </c>
    </row>
    <row r="2286" spans="1:28" s="264" customFormat="1" ht="20.399999999999999">
      <c r="A2286" s="207"/>
      <c r="B2286" s="208"/>
      <c r="C2286" s="212"/>
      <c r="D2286" s="270"/>
      <c r="E2286" s="208"/>
      <c r="F2286" s="208"/>
      <c r="G2286" s="208"/>
      <c r="H2286" s="209"/>
      <c r="I2286" s="210"/>
      <c r="J2286" s="210"/>
      <c r="K2286" s="260"/>
      <c r="L2286" s="260"/>
      <c r="M2286" s="260"/>
      <c r="N2286" s="260"/>
      <c r="O2286" s="260"/>
      <c r="P2286" s="211"/>
      <c r="Q2286" s="261"/>
      <c r="R2286" s="208" t="str">
        <f ca="1">IF(ISERROR($V2286),"",OFFSET('Smelter Look-up'!$C$4,$V2286-4,0)&amp;"")</f>
        <v/>
      </c>
      <c r="S2286" s="215" t="str">
        <f t="shared" ca="1" si="321"/>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si="322"/>
        <v>0</v>
      </c>
      <c r="Y2286" s="263"/>
      <c r="Z2286" s="263"/>
      <c r="AB2286" s="265" t="str">
        <f t="shared" si="323"/>
        <v/>
      </c>
    </row>
    <row r="2287" spans="1:28" s="264" customFormat="1" ht="20.399999999999999">
      <c r="A2287" s="207"/>
      <c r="B2287" s="208"/>
      <c r="C2287" s="212"/>
      <c r="D2287" s="270"/>
      <c r="E2287" s="208"/>
      <c r="F2287" s="208"/>
      <c r="G2287" s="208"/>
      <c r="H2287" s="209"/>
      <c r="I2287" s="210"/>
      <c r="J2287" s="210"/>
      <c r="K2287" s="260"/>
      <c r="L2287" s="260"/>
      <c r="M2287" s="260"/>
      <c r="N2287" s="260"/>
      <c r="O2287" s="260"/>
      <c r="P2287" s="211"/>
      <c r="Q2287" s="261"/>
      <c r="R2287" s="208" t="str">
        <f ca="1">IF(ISERROR($V2287),"",OFFSET('Smelter Look-up'!$C$4,$V2287-4,0)&amp;"")</f>
        <v/>
      </c>
      <c r="S2287" s="215" t="str">
        <f t="shared" ca="1" si="321"/>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si="322"/>
        <v>0</v>
      </c>
      <c r="Y2287" s="263"/>
      <c r="Z2287" s="263"/>
      <c r="AB2287" s="265" t="str">
        <f t="shared" si="323"/>
        <v/>
      </c>
    </row>
    <row r="2288" spans="1:28" s="264" customFormat="1" ht="20.399999999999999">
      <c r="A2288" s="207"/>
      <c r="B2288" s="208"/>
      <c r="C2288" s="212"/>
      <c r="D2288" s="270"/>
      <c r="E2288" s="208"/>
      <c r="F2288" s="208"/>
      <c r="G2288" s="208"/>
      <c r="H2288" s="209"/>
      <c r="I2288" s="210"/>
      <c r="J2288" s="210"/>
      <c r="K2288" s="260"/>
      <c r="L2288" s="260"/>
      <c r="M2288" s="260"/>
      <c r="N2288" s="260"/>
      <c r="O2288" s="260"/>
      <c r="P2288" s="211"/>
      <c r="Q2288" s="261"/>
      <c r="R2288" s="208" t="str">
        <f ca="1">IF(ISERROR($V2288),"",OFFSET('Smelter Look-up'!$C$4,$V2288-4,0)&amp;"")</f>
        <v/>
      </c>
      <c r="S2288" s="215" t="str">
        <f t="shared" ca="1" si="321"/>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si="322"/>
        <v>0</v>
      </c>
      <c r="Y2288" s="263"/>
      <c r="Z2288" s="263"/>
      <c r="AB2288" s="265" t="str">
        <f t="shared" si="323"/>
        <v/>
      </c>
    </row>
    <row r="2289" spans="1:28" s="264" customFormat="1" ht="20.399999999999999">
      <c r="A2289" s="207"/>
      <c r="B2289" s="208"/>
      <c r="C2289" s="212"/>
      <c r="D2289" s="270"/>
      <c r="E2289" s="208"/>
      <c r="F2289" s="208"/>
      <c r="G2289" s="208"/>
      <c r="H2289" s="209"/>
      <c r="I2289" s="210"/>
      <c r="J2289" s="210"/>
      <c r="K2289" s="260"/>
      <c r="L2289" s="260"/>
      <c r="M2289" s="260"/>
      <c r="N2289" s="260"/>
      <c r="O2289" s="260"/>
      <c r="P2289" s="211"/>
      <c r="Q2289" s="261"/>
      <c r="R2289" s="208" t="str">
        <f ca="1">IF(ISERROR($V2289),"",OFFSET('Smelter Look-up'!$C$4,$V2289-4,0)&amp;"")</f>
        <v/>
      </c>
      <c r="S2289" s="215" t="str">
        <f t="shared" ca="1" si="321"/>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si="322"/>
        <v>0</v>
      </c>
      <c r="Y2289" s="263"/>
      <c r="Z2289" s="263"/>
      <c r="AB2289" s="265" t="str">
        <f t="shared" si="323"/>
        <v/>
      </c>
    </row>
    <row r="2290" spans="1:28" s="264" customFormat="1" ht="20.399999999999999">
      <c r="A2290" s="207"/>
      <c r="B2290" s="208"/>
      <c r="C2290" s="212"/>
      <c r="D2290" s="270"/>
      <c r="E2290" s="208"/>
      <c r="F2290" s="208"/>
      <c r="G2290" s="208"/>
      <c r="H2290" s="209"/>
      <c r="I2290" s="210"/>
      <c r="J2290" s="210"/>
      <c r="K2290" s="260"/>
      <c r="L2290" s="260"/>
      <c r="M2290" s="260"/>
      <c r="N2290" s="260"/>
      <c r="O2290" s="260"/>
      <c r="P2290" s="211"/>
      <c r="Q2290" s="261"/>
      <c r="R2290" s="208" t="str">
        <f ca="1">IF(ISERROR($V2290),"",OFFSET('Smelter Look-up'!$C$4,$V2290-4,0)&amp;"")</f>
        <v/>
      </c>
      <c r="S2290" s="215" t="str">
        <f t="shared" ca="1" si="321"/>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si="322"/>
        <v>0</v>
      </c>
      <c r="Y2290" s="263"/>
      <c r="Z2290" s="263"/>
      <c r="AB2290" s="265" t="str">
        <f t="shared" si="323"/>
        <v/>
      </c>
    </row>
    <row r="2291" spans="1:28" s="264" customFormat="1" ht="20.399999999999999">
      <c r="A2291" s="207"/>
      <c r="B2291" s="208"/>
      <c r="C2291" s="212"/>
      <c r="D2291" s="270"/>
      <c r="E2291" s="208"/>
      <c r="F2291" s="208"/>
      <c r="G2291" s="208"/>
      <c r="H2291" s="209"/>
      <c r="I2291" s="210"/>
      <c r="J2291" s="210"/>
      <c r="K2291" s="260"/>
      <c r="L2291" s="260"/>
      <c r="M2291" s="260"/>
      <c r="N2291" s="260"/>
      <c r="O2291" s="260"/>
      <c r="P2291" s="211"/>
      <c r="Q2291" s="261"/>
      <c r="R2291" s="208" t="str">
        <f ca="1">IF(ISERROR($V2291),"",OFFSET('Smelter Look-up'!$C$4,$V2291-4,0)&amp;"")</f>
        <v/>
      </c>
      <c r="S2291" s="215" t="str">
        <f t="shared" ca="1" si="321"/>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si="322"/>
        <v>0</v>
      </c>
      <c r="Y2291" s="263"/>
      <c r="Z2291" s="263"/>
      <c r="AB2291" s="265" t="str">
        <f t="shared" si="323"/>
        <v/>
      </c>
    </row>
    <row r="2292" spans="1:28" s="264" customFormat="1" ht="20.399999999999999">
      <c r="A2292" s="207"/>
      <c r="B2292" s="208"/>
      <c r="C2292" s="212"/>
      <c r="D2292" s="270"/>
      <c r="E2292" s="208"/>
      <c r="F2292" s="208"/>
      <c r="G2292" s="208"/>
      <c r="H2292" s="209"/>
      <c r="I2292" s="210"/>
      <c r="J2292" s="210"/>
      <c r="K2292" s="260"/>
      <c r="L2292" s="260"/>
      <c r="M2292" s="260"/>
      <c r="N2292" s="260"/>
      <c r="O2292" s="260"/>
      <c r="P2292" s="211"/>
      <c r="Q2292" s="261"/>
      <c r="R2292" s="208" t="str">
        <f ca="1">IF(ISERROR($V2292),"",OFFSET('Smelter Look-up'!$C$4,$V2292-4,0)&amp;"")</f>
        <v/>
      </c>
      <c r="S2292" s="215" t="str">
        <f t="shared" ca="1" si="321"/>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si="322"/>
        <v>0</v>
      </c>
      <c r="Y2292" s="263"/>
      <c r="Z2292" s="263"/>
      <c r="AB2292" s="265" t="str">
        <f t="shared" si="323"/>
        <v/>
      </c>
    </row>
    <row r="2293" spans="1:28" s="264" customFormat="1" ht="20.399999999999999">
      <c r="A2293" s="207"/>
      <c r="B2293" s="208"/>
      <c r="C2293" s="212"/>
      <c r="D2293" s="270"/>
      <c r="E2293" s="208"/>
      <c r="F2293" s="208"/>
      <c r="G2293" s="208"/>
      <c r="H2293" s="209"/>
      <c r="I2293" s="210"/>
      <c r="J2293" s="210"/>
      <c r="K2293" s="260"/>
      <c r="L2293" s="260"/>
      <c r="M2293" s="260"/>
      <c r="N2293" s="260"/>
      <c r="O2293" s="260"/>
      <c r="P2293" s="211"/>
      <c r="Q2293" s="261"/>
      <c r="R2293" s="208" t="str">
        <f ca="1">IF(ISERROR($V2293),"",OFFSET('Smelter Look-up'!$C$4,$V2293-4,0)&amp;"")</f>
        <v/>
      </c>
      <c r="S2293" s="215" t="str">
        <f t="shared" ca="1" si="321"/>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si="322"/>
        <v>0</v>
      </c>
      <c r="Y2293" s="263"/>
      <c r="Z2293" s="263"/>
      <c r="AB2293" s="265" t="str">
        <f t="shared" si="323"/>
        <v/>
      </c>
    </row>
    <row r="2294" spans="1:28" s="264" customFormat="1" ht="20.399999999999999">
      <c r="A2294" s="207"/>
      <c r="B2294" s="208"/>
      <c r="C2294" s="212"/>
      <c r="D2294" s="270"/>
      <c r="E2294" s="208"/>
      <c r="F2294" s="208"/>
      <c r="G2294" s="208"/>
      <c r="H2294" s="209"/>
      <c r="I2294" s="210"/>
      <c r="J2294" s="210"/>
      <c r="K2294" s="260"/>
      <c r="L2294" s="260"/>
      <c r="M2294" s="260"/>
      <c r="N2294" s="260"/>
      <c r="O2294" s="260"/>
      <c r="P2294" s="211"/>
      <c r="Q2294" s="261"/>
      <c r="R2294" s="208" t="str">
        <f ca="1">IF(ISERROR($V2294),"",OFFSET('Smelter Look-up'!$C$4,$V2294-4,0)&amp;"")</f>
        <v/>
      </c>
      <c r="S2294" s="215" t="str">
        <f t="shared" ca="1" si="321"/>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si="322"/>
        <v>0</v>
      </c>
      <c r="Y2294" s="263"/>
      <c r="Z2294" s="263"/>
      <c r="AB2294" s="265" t="str">
        <f t="shared" si="323"/>
        <v/>
      </c>
    </row>
    <row r="2295" spans="1:28" s="264" customFormat="1" ht="20.399999999999999">
      <c r="A2295" s="207"/>
      <c r="B2295" s="208"/>
      <c r="C2295" s="212"/>
      <c r="D2295" s="270"/>
      <c r="E2295" s="208"/>
      <c r="F2295" s="208"/>
      <c r="G2295" s="208"/>
      <c r="H2295" s="209"/>
      <c r="I2295" s="210"/>
      <c r="J2295" s="210"/>
      <c r="K2295" s="260"/>
      <c r="L2295" s="260"/>
      <c r="M2295" s="260"/>
      <c r="N2295" s="260"/>
      <c r="O2295" s="260"/>
      <c r="P2295" s="211"/>
      <c r="Q2295" s="261"/>
      <c r="R2295" s="208" t="str">
        <f ca="1">IF(ISERROR($V2295),"",OFFSET('Smelter Look-up'!$C$4,$V2295-4,0)&amp;"")</f>
        <v/>
      </c>
      <c r="S2295" s="215" t="str">
        <f t="shared" ca="1" si="321"/>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si="322"/>
        <v>0</v>
      </c>
      <c r="Y2295" s="263"/>
      <c r="Z2295" s="263"/>
      <c r="AB2295" s="265" t="str">
        <f t="shared" si="323"/>
        <v/>
      </c>
    </row>
    <row r="2296" spans="1:28" s="264" customFormat="1" ht="20.399999999999999">
      <c r="A2296" s="207"/>
      <c r="B2296" s="208"/>
      <c r="C2296" s="212"/>
      <c r="D2296" s="270"/>
      <c r="E2296" s="208"/>
      <c r="F2296" s="208"/>
      <c r="G2296" s="208"/>
      <c r="H2296" s="209"/>
      <c r="I2296" s="210"/>
      <c r="J2296" s="210"/>
      <c r="K2296" s="260"/>
      <c r="L2296" s="260"/>
      <c r="M2296" s="260"/>
      <c r="N2296" s="260"/>
      <c r="O2296" s="260"/>
      <c r="P2296" s="211"/>
      <c r="Q2296" s="261"/>
      <c r="R2296" s="208" t="str">
        <f ca="1">IF(ISERROR($V2296),"",OFFSET('Smelter Look-up'!$C$4,$V2296-4,0)&amp;"")</f>
        <v/>
      </c>
      <c r="S2296" s="215" t="str">
        <f t="shared" ca="1" si="321"/>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si="322"/>
        <v>0</v>
      </c>
      <c r="Y2296" s="263"/>
      <c r="Z2296" s="263"/>
      <c r="AB2296" s="265" t="str">
        <f t="shared" si="323"/>
        <v/>
      </c>
    </row>
    <row r="2297" spans="1:28" s="264" customFormat="1" ht="20.399999999999999">
      <c r="A2297" s="207"/>
      <c r="B2297" s="208"/>
      <c r="C2297" s="212"/>
      <c r="D2297" s="270"/>
      <c r="E2297" s="208"/>
      <c r="F2297" s="208"/>
      <c r="G2297" s="208"/>
      <c r="H2297" s="209"/>
      <c r="I2297" s="210"/>
      <c r="J2297" s="210"/>
      <c r="K2297" s="260"/>
      <c r="L2297" s="260"/>
      <c r="M2297" s="260"/>
      <c r="N2297" s="260"/>
      <c r="O2297" s="260"/>
      <c r="P2297" s="211"/>
      <c r="Q2297" s="261"/>
      <c r="R2297" s="208" t="str">
        <f ca="1">IF(ISERROR($V2297),"",OFFSET('Smelter Look-up'!$C$4,$V2297-4,0)&amp;"")</f>
        <v/>
      </c>
      <c r="S2297" s="215" t="str">
        <f t="shared" ca="1" si="321"/>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si="322"/>
        <v>0</v>
      </c>
      <c r="Y2297" s="263"/>
      <c r="Z2297" s="263"/>
      <c r="AB2297" s="265" t="str">
        <f t="shared" si="323"/>
        <v/>
      </c>
    </row>
    <row r="2298" spans="1:28" s="264" customFormat="1" ht="20.399999999999999">
      <c r="A2298" s="207"/>
      <c r="B2298" s="208"/>
      <c r="C2298" s="212"/>
      <c r="D2298" s="270"/>
      <c r="E2298" s="208"/>
      <c r="F2298" s="208"/>
      <c r="G2298" s="208"/>
      <c r="H2298" s="209"/>
      <c r="I2298" s="210"/>
      <c r="J2298" s="210"/>
      <c r="K2298" s="260"/>
      <c r="L2298" s="260"/>
      <c r="M2298" s="260"/>
      <c r="N2298" s="260"/>
      <c r="O2298" s="260"/>
      <c r="P2298" s="211"/>
      <c r="Q2298" s="261"/>
      <c r="R2298" s="208" t="str">
        <f ca="1">IF(ISERROR($V2298),"",OFFSET('Smelter Look-up'!$C$4,$V2298-4,0)&amp;"")</f>
        <v/>
      </c>
      <c r="S2298" s="215" t="str">
        <f t="shared" ca="1" si="321"/>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si="322"/>
        <v>0</v>
      </c>
      <c r="Y2298" s="263"/>
      <c r="Z2298" s="263"/>
      <c r="AB2298" s="265" t="str">
        <f t="shared" si="323"/>
        <v/>
      </c>
    </row>
    <row r="2299" spans="1:28" s="264" customFormat="1" ht="20.399999999999999">
      <c r="A2299" s="207"/>
      <c r="B2299" s="208"/>
      <c r="C2299" s="212"/>
      <c r="D2299" s="270"/>
      <c r="E2299" s="208"/>
      <c r="F2299" s="208"/>
      <c r="G2299" s="208"/>
      <c r="H2299" s="209"/>
      <c r="I2299" s="210"/>
      <c r="J2299" s="210"/>
      <c r="K2299" s="260"/>
      <c r="L2299" s="260"/>
      <c r="M2299" s="260"/>
      <c r="N2299" s="260"/>
      <c r="O2299" s="260"/>
      <c r="P2299" s="211"/>
      <c r="Q2299" s="261"/>
      <c r="R2299" s="208" t="str">
        <f ca="1">IF(ISERROR($V2299),"",OFFSET('Smelter Look-up'!$C$4,$V2299-4,0)&amp;"")</f>
        <v/>
      </c>
      <c r="S2299" s="215" t="str">
        <f t="shared" ref="S2299" ca="1" si="324">IF(B2299="","",IF(ISERROR(MATCH($E2299,CL,0)),"Unknown",INDIRECT("'C'!$A$"&amp;MATCH($E2299,CL,0)+1)))</f>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t="shared" ref="X2299" si="325">IF(AND(C2299="Smelter not listed",OR(LEN(D2299)=0,LEN(E2299)=0)),1,0)</f>
        <v>0</v>
      </c>
      <c r="Y2299" s="263"/>
      <c r="Z2299" s="263"/>
      <c r="AB2299" s="265" t="str">
        <f t="shared" ref="AB2299" si="326">B2299&amp;C2299</f>
        <v/>
      </c>
    </row>
    <row r="2300" spans="1:28" s="264" customFormat="1" ht="20.399999999999999">
      <c r="A2300" s="207"/>
      <c r="B2300" s="208"/>
      <c r="C2300" s="212"/>
      <c r="D2300" s="270"/>
      <c r="E2300" s="208"/>
      <c r="F2300" s="208"/>
      <c r="G2300" s="208"/>
      <c r="H2300" s="209"/>
      <c r="I2300" s="210"/>
      <c r="J2300" s="210"/>
      <c r="K2300" s="260"/>
      <c r="L2300" s="260"/>
      <c r="M2300" s="260"/>
      <c r="N2300" s="260"/>
      <c r="O2300" s="260"/>
      <c r="P2300" s="211"/>
      <c r="Q2300" s="261"/>
      <c r="R2300" s="208" t="str">
        <f ca="1">IF(ISERROR($V2300),"",OFFSET('Smelter Look-up'!$C$4,$V2300-4,0)&amp;"")</f>
        <v/>
      </c>
      <c r="S2300" s="215" t="str">
        <f t="shared" ref="S2300:S2331" ca="1" si="327">IF(B2300="","",IF(ISERROR(MATCH($E2300,CL,0)),"Unknown",INDIRECT("'C'!$A$"&amp;MATCH($E2300,CL,0)+1)))</f>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ref="X2300:X2331" si="328">IF(AND(C2300="Smelter not listed",OR(LEN(D2300)=0,LEN(E2300)=0)),1,0)</f>
        <v>0</v>
      </c>
      <c r="Y2300" s="263"/>
      <c r="Z2300" s="263"/>
      <c r="AB2300" s="265" t="str">
        <f t="shared" ref="AB2300:AB2331" si="329">B2300&amp;C2300</f>
        <v/>
      </c>
    </row>
    <row r="2301" spans="1:28" s="264" customFormat="1" ht="20.399999999999999">
      <c r="A2301" s="207"/>
      <c r="B2301" s="208"/>
      <c r="C2301" s="212"/>
      <c r="D2301" s="270"/>
      <c r="E2301" s="208"/>
      <c r="F2301" s="208"/>
      <c r="G2301" s="208"/>
      <c r="H2301" s="209"/>
      <c r="I2301" s="210"/>
      <c r="J2301" s="210"/>
      <c r="K2301" s="260"/>
      <c r="L2301" s="260"/>
      <c r="M2301" s="260"/>
      <c r="N2301" s="260"/>
      <c r="O2301" s="260"/>
      <c r="P2301" s="211"/>
      <c r="Q2301" s="261"/>
      <c r="R2301" s="208" t="str">
        <f ca="1">IF(ISERROR($V2301),"",OFFSET('Smelter Look-up'!$C$4,$V2301-4,0)&amp;"")</f>
        <v/>
      </c>
      <c r="S2301" s="215" t="str">
        <f t="shared" ca="1" si="327"/>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si="328"/>
        <v>0</v>
      </c>
      <c r="Y2301" s="263"/>
      <c r="Z2301" s="263"/>
      <c r="AB2301" s="265" t="str">
        <f t="shared" si="329"/>
        <v/>
      </c>
    </row>
    <row r="2302" spans="1:28" s="264" customFormat="1" ht="20.399999999999999">
      <c r="A2302" s="207"/>
      <c r="B2302" s="208"/>
      <c r="C2302" s="212"/>
      <c r="D2302" s="270"/>
      <c r="E2302" s="208"/>
      <c r="F2302" s="208"/>
      <c r="G2302" s="208"/>
      <c r="H2302" s="209"/>
      <c r="I2302" s="210"/>
      <c r="J2302" s="210"/>
      <c r="K2302" s="260"/>
      <c r="L2302" s="260"/>
      <c r="M2302" s="260"/>
      <c r="N2302" s="260"/>
      <c r="O2302" s="260"/>
      <c r="P2302" s="211"/>
      <c r="Q2302" s="261"/>
      <c r="R2302" s="208" t="str">
        <f ca="1">IF(ISERROR($V2302),"",OFFSET('Smelter Look-up'!$C$4,$V2302-4,0)&amp;"")</f>
        <v/>
      </c>
      <c r="S2302" s="215" t="str">
        <f t="shared" ca="1" si="327"/>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si="328"/>
        <v>0</v>
      </c>
      <c r="Y2302" s="263"/>
      <c r="Z2302" s="263"/>
      <c r="AB2302" s="265" t="str">
        <f t="shared" si="329"/>
        <v/>
      </c>
    </row>
    <row r="2303" spans="1:28" s="264" customFormat="1" ht="20.399999999999999">
      <c r="A2303" s="207"/>
      <c r="B2303" s="208"/>
      <c r="C2303" s="212"/>
      <c r="D2303" s="270"/>
      <c r="E2303" s="208"/>
      <c r="F2303" s="208"/>
      <c r="G2303" s="208"/>
      <c r="H2303" s="209"/>
      <c r="I2303" s="210"/>
      <c r="J2303" s="210"/>
      <c r="K2303" s="260"/>
      <c r="L2303" s="260"/>
      <c r="M2303" s="260"/>
      <c r="N2303" s="260"/>
      <c r="O2303" s="260"/>
      <c r="P2303" s="211"/>
      <c r="Q2303" s="261"/>
      <c r="R2303" s="208" t="str">
        <f ca="1">IF(ISERROR($V2303),"",OFFSET('Smelter Look-up'!$C$4,$V2303-4,0)&amp;"")</f>
        <v/>
      </c>
      <c r="S2303" s="215" t="str">
        <f t="shared" ca="1" si="327"/>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si="328"/>
        <v>0</v>
      </c>
      <c r="Y2303" s="263"/>
      <c r="Z2303" s="263"/>
      <c r="AB2303" s="265" t="str">
        <f t="shared" si="329"/>
        <v/>
      </c>
    </row>
    <row r="2304" spans="1:28" s="264" customFormat="1" ht="20.399999999999999">
      <c r="A2304" s="207"/>
      <c r="B2304" s="208"/>
      <c r="C2304" s="212"/>
      <c r="D2304" s="270"/>
      <c r="E2304" s="208"/>
      <c r="F2304" s="208"/>
      <c r="G2304" s="208"/>
      <c r="H2304" s="209"/>
      <c r="I2304" s="210"/>
      <c r="J2304" s="210"/>
      <c r="K2304" s="260"/>
      <c r="L2304" s="260"/>
      <c r="M2304" s="260"/>
      <c r="N2304" s="260"/>
      <c r="O2304" s="260"/>
      <c r="P2304" s="211"/>
      <c r="Q2304" s="261"/>
      <c r="R2304" s="208" t="str">
        <f ca="1">IF(ISERROR($V2304),"",OFFSET('Smelter Look-up'!$C$4,$V2304-4,0)&amp;"")</f>
        <v/>
      </c>
      <c r="S2304" s="215" t="str">
        <f t="shared" ca="1" si="327"/>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si="328"/>
        <v>0</v>
      </c>
      <c r="Y2304" s="263"/>
      <c r="Z2304" s="263"/>
      <c r="AB2304" s="265" t="str">
        <f t="shared" si="329"/>
        <v/>
      </c>
    </row>
    <row r="2305" spans="1:28" s="264" customFormat="1" ht="20.399999999999999">
      <c r="A2305" s="207"/>
      <c r="B2305" s="208"/>
      <c r="C2305" s="212"/>
      <c r="D2305" s="270"/>
      <c r="E2305" s="208"/>
      <c r="F2305" s="208"/>
      <c r="G2305" s="208"/>
      <c r="H2305" s="209"/>
      <c r="I2305" s="210"/>
      <c r="J2305" s="210"/>
      <c r="K2305" s="260"/>
      <c r="L2305" s="260"/>
      <c r="M2305" s="260"/>
      <c r="N2305" s="260"/>
      <c r="O2305" s="260"/>
      <c r="P2305" s="211"/>
      <c r="Q2305" s="261"/>
      <c r="R2305" s="208" t="str">
        <f ca="1">IF(ISERROR($V2305),"",OFFSET('Smelter Look-up'!$C$4,$V2305-4,0)&amp;"")</f>
        <v/>
      </c>
      <c r="S2305" s="215" t="str">
        <f t="shared" ca="1" si="327"/>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si="328"/>
        <v>0</v>
      </c>
      <c r="Y2305" s="263"/>
      <c r="Z2305" s="263"/>
      <c r="AB2305" s="265" t="str">
        <f t="shared" si="329"/>
        <v/>
      </c>
    </row>
    <row r="2306" spans="1:28" s="264" customFormat="1" ht="20.399999999999999">
      <c r="A2306" s="207"/>
      <c r="B2306" s="208"/>
      <c r="C2306" s="212"/>
      <c r="D2306" s="270"/>
      <c r="E2306" s="208"/>
      <c r="F2306" s="208"/>
      <c r="G2306" s="208"/>
      <c r="H2306" s="209"/>
      <c r="I2306" s="210"/>
      <c r="J2306" s="210"/>
      <c r="K2306" s="260"/>
      <c r="L2306" s="260"/>
      <c r="M2306" s="260"/>
      <c r="N2306" s="260"/>
      <c r="O2306" s="260"/>
      <c r="P2306" s="211"/>
      <c r="Q2306" s="261"/>
      <c r="R2306" s="208" t="str">
        <f ca="1">IF(ISERROR($V2306),"",OFFSET('Smelter Look-up'!$C$4,$V2306-4,0)&amp;"")</f>
        <v/>
      </c>
      <c r="S2306" s="215" t="str">
        <f t="shared" ca="1" si="327"/>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si="328"/>
        <v>0</v>
      </c>
      <c r="Y2306" s="263"/>
      <c r="Z2306" s="263"/>
      <c r="AB2306" s="265" t="str">
        <f t="shared" si="329"/>
        <v/>
      </c>
    </row>
    <row r="2307" spans="1:28" s="264" customFormat="1" ht="20.399999999999999">
      <c r="A2307" s="207"/>
      <c r="B2307" s="208"/>
      <c r="C2307" s="212"/>
      <c r="D2307" s="270"/>
      <c r="E2307" s="208"/>
      <c r="F2307" s="208"/>
      <c r="G2307" s="208"/>
      <c r="H2307" s="209"/>
      <c r="I2307" s="210"/>
      <c r="J2307" s="210"/>
      <c r="K2307" s="260"/>
      <c r="L2307" s="260"/>
      <c r="M2307" s="260"/>
      <c r="N2307" s="260"/>
      <c r="O2307" s="260"/>
      <c r="P2307" s="211"/>
      <c r="Q2307" s="261"/>
      <c r="R2307" s="208" t="str">
        <f ca="1">IF(ISERROR($V2307),"",OFFSET('Smelter Look-up'!$C$4,$V2307-4,0)&amp;"")</f>
        <v/>
      </c>
      <c r="S2307" s="215" t="str">
        <f t="shared" ca="1" si="327"/>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si="328"/>
        <v>0</v>
      </c>
      <c r="Y2307" s="263"/>
      <c r="Z2307" s="263"/>
      <c r="AB2307" s="265" t="str">
        <f t="shared" si="329"/>
        <v/>
      </c>
    </row>
    <row r="2308" spans="1:28" s="264" customFormat="1" ht="20.399999999999999">
      <c r="A2308" s="207"/>
      <c r="B2308" s="208"/>
      <c r="C2308" s="212"/>
      <c r="D2308" s="270"/>
      <c r="E2308" s="208"/>
      <c r="F2308" s="208"/>
      <c r="G2308" s="208"/>
      <c r="H2308" s="209"/>
      <c r="I2308" s="210"/>
      <c r="J2308" s="210"/>
      <c r="K2308" s="260"/>
      <c r="L2308" s="260"/>
      <c r="M2308" s="260"/>
      <c r="N2308" s="260"/>
      <c r="O2308" s="260"/>
      <c r="P2308" s="211"/>
      <c r="Q2308" s="261"/>
      <c r="R2308" s="208" t="str">
        <f ca="1">IF(ISERROR($V2308),"",OFFSET('Smelter Look-up'!$C$4,$V2308-4,0)&amp;"")</f>
        <v/>
      </c>
      <c r="S2308" s="215" t="str">
        <f t="shared" ca="1" si="327"/>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si="328"/>
        <v>0</v>
      </c>
      <c r="Y2308" s="263"/>
      <c r="Z2308" s="263"/>
      <c r="AB2308" s="265" t="str">
        <f t="shared" si="329"/>
        <v/>
      </c>
    </row>
    <row r="2309" spans="1:28" s="264" customFormat="1" ht="20.399999999999999">
      <c r="A2309" s="207"/>
      <c r="B2309" s="208"/>
      <c r="C2309" s="212"/>
      <c r="D2309" s="270"/>
      <c r="E2309" s="208"/>
      <c r="F2309" s="208"/>
      <c r="G2309" s="208"/>
      <c r="H2309" s="209"/>
      <c r="I2309" s="210"/>
      <c r="J2309" s="210"/>
      <c r="K2309" s="260"/>
      <c r="L2309" s="260"/>
      <c r="M2309" s="260"/>
      <c r="N2309" s="260"/>
      <c r="O2309" s="260"/>
      <c r="P2309" s="211"/>
      <c r="Q2309" s="261"/>
      <c r="R2309" s="208" t="str">
        <f ca="1">IF(ISERROR($V2309),"",OFFSET('Smelter Look-up'!$C$4,$V2309-4,0)&amp;"")</f>
        <v/>
      </c>
      <c r="S2309" s="215" t="str">
        <f t="shared" ca="1" si="327"/>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si="328"/>
        <v>0</v>
      </c>
      <c r="Y2309" s="263"/>
      <c r="Z2309" s="263"/>
      <c r="AB2309" s="265" t="str">
        <f t="shared" si="329"/>
        <v/>
      </c>
    </row>
    <row r="2310" spans="1:28" s="264" customFormat="1" ht="20.399999999999999">
      <c r="A2310" s="207"/>
      <c r="B2310" s="208"/>
      <c r="C2310" s="212"/>
      <c r="D2310" s="270"/>
      <c r="E2310" s="208"/>
      <c r="F2310" s="208"/>
      <c r="G2310" s="208"/>
      <c r="H2310" s="209"/>
      <c r="I2310" s="210"/>
      <c r="J2310" s="210"/>
      <c r="K2310" s="260"/>
      <c r="L2310" s="260"/>
      <c r="M2310" s="260"/>
      <c r="N2310" s="260"/>
      <c r="O2310" s="260"/>
      <c r="P2310" s="211"/>
      <c r="Q2310" s="261"/>
      <c r="R2310" s="208" t="str">
        <f ca="1">IF(ISERROR($V2310),"",OFFSET('Smelter Look-up'!$C$4,$V2310-4,0)&amp;"")</f>
        <v/>
      </c>
      <c r="S2310" s="215" t="str">
        <f t="shared" ca="1" si="327"/>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si="328"/>
        <v>0</v>
      </c>
      <c r="Y2310" s="263"/>
      <c r="Z2310" s="263"/>
      <c r="AB2310" s="265" t="str">
        <f t="shared" si="329"/>
        <v/>
      </c>
    </row>
    <row r="2311" spans="1:28" s="264" customFormat="1" ht="20.399999999999999">
      <c r="A2311" s="207"/>
      <c r="B2311" s="208"/>
      <c r="C2311" s="212"/>
      <c r="D2311" s="270"/>
      <c r="E2311" s="208"/>
      <c r="F2311" s="208"/>
      <c r="G2311" s="208"/>
      <c r="H2311" s="209"/>
      <c r="I2311" s="210"/>
      <c r="J2311" s="210"/>
      <c r="K2311" s="260"/>
      <c r="L2311" s="260"/>
      <c r="M2311" s="260"/>
      <c r="N2311" s="260"/>
      <c r="O2311" s="260"/>
      <c r="P2311" s="211"/>
      <c r="Q2311" s="261"/>
      <c r="R2311" s="208" t="str">
        <f ca="1">IF(ISERROR($V2311),"",OFFSET('Smelter Look-up'!$C$4,$V2311-4,0)&amp;"")</f>
        <v/>
      </c>
      <c r="S2311" s="215" t="str">
        <f t="shared" ca="1" si="327"/>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si="328"/>
        <v>0</v>
      </c>
      <c r="Y2311" s="263"/>
      <c r="Z2311" s="263"/>
      <c r="AB2311" s="265" t="str">
        <f t="shared" si="329"/>
        <v/>
      </c>
    </row>
    <row r="2312" spans="1:28" s="264" customFormat="1" ht="20.399999999999999">
      <c r="A2312" s="207"/>
      <c r="B2312" s="208"/>
      <c r="C2312" s="212"/>
      <c r="D2312" s="270"/>
      <c r="E2312" s="208"/>
      <c r="F2312" s="208"/>
      <c r="G2312" s="208"/>
      <c r="H2312" s="209"/>
      <c r="I2312" s="210"/>
      <c r="J2312" s="210"/>
      <c r="K2312" s="260"/>
      <c r="L2312" s="260"/>
      <c r="M2312" s="260"/>
      <c r="N2312" s="260"/>
      <c r="O2312" s="260"/>
      <c r="P2312" s="211"/>
      <c r="Q2312" s="261"/>
      <c r="R2312" s="208" t="str">
        <f ca="1">IF(ISERROR($V2312),"",OFFSET('Smelter Look-up'!$C$4,$V2312-4,0)&amp;"")</f>
        <v/>
      </c>
      <c r="S2312" s="215" t="str">
        <f t="shared" ca="1" si="327"/>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si="328"/>
        <v>0</v>
      </c>
      <c r="Y2312" s="263"/>
      <c r="Z2312" s="263"/>
      <c r="AB2312" s="265" t="str">
        <f t="shared" si="329"/>
        <v/>
      </c>
    </row>
    <row r="2313" spans="1:28" s="264" customFormat="1" ht="20.399999999999999">
      <c r="A2313" s="207"/>
      <c r="B2313" s="208"/>
      <c r="C2313" s="212"/>
      <c r="D2313" s="270"/>
      <c r="E2313" s="208"/>
      <c r="F2313" s="208"/>
      <c r="G2313" s="208"/>
      <c r="H2313" s="209"/>
      <c r="I2313" s="210"/>
      <c r="J2313" s="210"/>
      <c r="K2313" s="260"/>
      <c r="L2313" s="260"/>
      <c r="M2313" s="260"/>
      <c r="N2313" s="260"/>
      <c r="O2313" s="260"/>
      <c r="P2313" s="211"/>
      <c r="Q2313" s="261"/>
      <c r="R2313" s="208" t="str">
        <f ca="1">IF(ISERROR($V2313),"",OFFSET('Smelter Look-up'!$C$4,$V2313-4,0)&amp;"")</f>
        <v/>
      </c>
      <c r="S2313" s="215" t="str">
        <f t="shared" ca="1" si="327"/>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si="328"/>
        <v>0</v>
      </c>
      <c r="Y2313" s="263"/>
      <c r="Z2313" s="263"/>
      <c r="AB2313" s="265" t="str">
        <f t="shared" si="329"/>
        <v/>
      </c>
    </row>
    <row r="2314" spans="1:28" s="264" customFormat="1" ht="20.399999999999999">
      <c r="A2314" s="207"/>
      <c r="B2314" s="208"/>
      <c r="C2314" s="212"/>
      <c r="D2314" s="270"/>
      <c r="E2314" s="208"/>
      <c r="F2314" s="208"/>
      <c r="G2314" s="208"/>
      <c r="H2314" s="209"/>
      <c r="I2314" s="210"/>
      <c r="J2314" s="210"/>
      <c r="K2314" s="260"/>
      <c r="L2314" s="260"/>
      <c r="M2314" s="260"/>
      <c r="N2314" s="260"/>
      <c r="O2314" s="260"/>
      <c r="P2314" s="211"/>
      <c r="Q2314" s="261"/>
      <c r="R2314" s="208" t="str">
        <f ca="1">IF(ISERROR($V2314),"",OFFSET('Smelter Look-up'!$C$4,$V2314-4,0)&amp;"")</f>
        <v/>
      </c>
      <c r="S2314" s="215" t="str">
        <f t="shared" ca="1" si="327"/>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si="328"/>
        <v>0</v>
      </c>
      <c r="Y2314" s="263"/>
      <c r="Z2314" s="263"/>
      <c r="AB2314" s="265" t="str">
        <f t="shared" si="329"/>
        <v/>
      </c>
    </row>
    <row r="2315" spans="1:28" s="264" customFormat="1" ht="20.399999999999999">
      <c r="A2315" s="207"/>
      <c r="B2315" s="208"/>
      <c r="C2315" s="212"/>
      <c r="D2315" s="270"/>
      <c r="E2315" s="208"/>
      <c r="F2315" s="208"/>
      <c r="G2315" s="208"/>
      <c r="H2315" s="209"/>
      <c r="I2315" s="210"/>
      <c r="J2315" s="210"/>
      <c r="K2315" s="260"/>
      <c r="L2315" s="260"/>
      <c r="M2315" s="260"/>
      <c r="N2315" s="260"/>
      <c r="O2315" s="260"/>
      <c r="P2315" s="211"/>
      <c r="Q2315" s="261"/>
      <c r="R2315" s="208" t="str">
        <f ca="1">IF(ISERROR($V2315),"",OFFSET('Smelter Look-up'!$C$4,$V2315-4,0)&amp;"")</f>
        <v/>
      </c>
      <c r="S2315" s="215" t="str">
        <f t="shared" ca="1" si="327"/>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si="328"/>
        <v>0</v>
      </c>
      <c r="Y2315" s="263"/>
      <c r="Z2315" s="263"/>
      <c r="AB2315" s="265" t="str">
        <f t="shared" si="329"/>
        <v/>
      </c>
    </row>
    <row r="2316" spans="1:28" s="264" customFormat="1" ht="20.399999999999999">
      <c r="A2316" s="207"/>
      <c r="B2316" s="208"/>
      <c r="C2316" s="212"/>
      <c r="D2316" s="270"/>
      <c r="E2316" s="208"/>
      <c r="F2316" s="208"/>
      <c r="G2316" s="208"/>
      <c r="H2316" s="209"/>
      <c r="I2316" s="210"/>
      <c r="J2316" s="210"/>
      <c r="K2316" s="260"/>
      <c r="L2316" s="260"/>
      <c r="M2316" s="260"/>
      <c r="N2316" s="260"/>
      <c r="O2316" s="260"/>
      <c r="P2316" s="211"/>
      <c r="Q2316" s="261"/>
      <c r="R2316" s="208" t="str">
        <f ca="1">IF(ISERROR($V2316),"",OFFSET('Smelter Look-up'!$C$4,$V2316-4,0)&amp;"")</f>
        <v/>
      </c>
      <c r="S2316" s="215" t="str">
        <f t="shared" ca="1" si="327"/>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si="328"/>
        <v>0</v>
      </c>
      <c r="Y2316" s="263"/>
      <c r="Z2316" s="263"/>
      <c r="AB2316" s="265" t="str">
        <f t="shared" si="329"/>
        <v/>
      </c>
    </row>
    <row r="2317" spans="1:28" s="264" customFormat="1" ht="20.399999999999999">
      <c r="A2317" s="207"/>
      <c r="B2317" s="208"/>
      <c r="C2317" s="212"/>
      <c r="D2317" s="270"/>
      <c r="E2317" s="208"/>
      <c r="F2317" s="208"/>
      <c r="G2317" s="208"/>
      <c r="H2317" s="209"/>
      <c r="I2317" s="210"/>
      <c r="J2317" s="210"/>
      <c r="K2317" s="260"/>
      <c r="L2317" s="260"/>
      <c r="M2317" s="260"/>
      <c r="N2317" s="260"/>
      <c r="O2317" s="260"/>
      <c r="P2317" s="211"/>
      <c r="Q2317" s="261"/>
      <c r="R2317" s="208" t="str">
        <f ca="1">IF(ISERROR($V2317),"",OFFSET('Smelter Look-up'!$C$4,$V2317-4,0)&amp;"")</f>
        <v/>
      </c>
      <c r="S2317" s="215" t="str">
        <f t="shared" ca="1" si="327"/>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si="328"/>
        <v>0</v>
      </c>
      <c r="Y2317" s="263"/>
      <c r="Z2317" s="263"/>
      <c r="AB2317" s="265" t="str">
        <f t="shared" si="329"/>
        <v/>
      </c>
    </row>
    <row r="2318" spans="1:28" s="264" customFormat="1" ht="20.399999999999999">
      <c r="A2318" s="207"/>
      <c r="B2318" s="208"/>
      <c r="C2318" s="212"/>
      <c r="D2318" s="270"/>
      <c r="E2318" s="208"/>
      <c r="F2318" s="208"/>
      <c r="G2318" s="208"/>
      <c r="H2318" s="209"/>
      <c r="I2318" s="210"/>
      <c r="J2318" s="210"/>
      <c r="K2318" s="260"/>
      <c r="L2318" s="260"/>
      <c r="M2318" s="260"/>
      <c r="N2318" s="260"/>
      <c r="O2318" s="260"/>
      <c r="P2318" s="211"/>
      <c r="Q2318" s="261"/>
      <c r="R2318" s="208" t="str">
        <f ca="1">IF(ISERROR($V2318),"",OFFSET('Smelter Look-up'!$C$4,$V2318-4,0)&amp;"")</f>
        <v/>
      </c>
      <c r="S2318" s="215" t="str">
        <f t="shared" ca="1" si="327"/>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si="328"/>
        <v>0</v>
      </c>
      <c r="Y2318" s="263"/>
      <c r="Z2318" s="263"/>
      <c r="AB2318" s="265" t="str">
        <f t="shared" si="329"/>
        <v/>
      </c>
    </row>
    <row r="2319" spans="1:28" s="264" customFormat="1" ht="20.399999999999999">
      <c r="A2319" s="207"/>
      <c r="B2319" s="208"/>
      <c r="C2319" s="212"/>
      <c r="D2319" s="270"/>
      <c r="E2319" s="208"/>
      <c r="F2319" s="208"/>
      <c r="G2319" s="208"/>
      <c r="H2319" s="209"/>
      <c r="I2319" s="210"/>
      <c r="J2319" s="210"/>
      <c r="K2319" s="260"/>
      <c r="L2319" s="260"/>
      <c r="M2319" s="260"/>
      <c r="N2319" s="260"/>
      <c r="O2319" s="260"/>
      <c r="P2319" s="211"/>
      <c r="Q2319" s="261"/>
      <c r="R2319" s="208" t="str">
        <f ca="1">IF(ISERROR($V2319),"",OFFSET('Smelter Look-up'!$C$4,$V2319-4,0)&amp;"")</f>
        <v/>
      </c>
      <c r="S2319" s="215" t="str">
        <f t="shared" ca="1" si="327"/>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si="328"/>
        <v>0</v>
      </c>
      <c r="Y2319" s="263"/>
      <c r="Z2319" s="263"/>
      <c r="AB2319" s="265" t="str">
        <f t="shared" si="329"/>
        <v/>
      </c>
    </row>
    <row r="2320" spans="1:28" s="264" customFormat="1" ht="20.399999999999999">
      <c r="A2320" s="207"/>
      <c r="B2320" s="208"/>
      <c r="C2320" s="212"/>
      <c r="D2320" s="270"/>
      <c r="E2320" s="208"/>
      <c r="F2320" s="208"/>
      <c r="G2320" s="208"/>
      <c r="H2320" s="209"/>
      <c r="I2320" s="210"/>
      <c r="J2320" s="210"/>
      <c r="K2320" s="260"/>
      <c r="L2320" s="260"/>
      <c r="M2320" s="260"/>
      <c r="N2320" s="260"/>
      <c r="O2320" s="260"/>
      <c r="P2320" s="211"/>
      <c r="Q2320" s="261"/>
      <c r="R2320" s="208" t="str">
        <f ca="1">IF(ISERROR($V2320),"",OFFSET('Smelter Look-up'!$C$4,$V2320-4,0)&amp;"")</f>
        <v/>
      </c>
      <c r="S2320" s="215" t="str">
        <f t="shared" ca="1" si="327"/>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si="328"/>
        <v>0</v>
      </c>
      <c r="Y2320" s="263"/>
      <c r="Z2320" s="263"/>
      <c r="AB2320" s="265" t="str">
        <f t="shared" si="329"/>
        <v/>
      </c>
    </row>
    <row r="2321" spans="1:28" s="264" customFormat="1" ht="20.399999999999999">
      <c r="A2321" s="207"/>
      <c r="B2321" s="208"/>
      <c r="C2321" s="212"/>
      <c r="D2321" s="270"/>
      <c r="E2321" s="208"/>
      <c r="F2321" s="208"/>
      <c r="G2321" s="208"/>
      <c r="H2321" s="209"/>
      <c r="I2321" s="210"/>
      <c r="J2321" s="210"/>
      <c r="K2321" s="260"/>
      <c r="L2321" s="260"/>
      <c r="M2321" s="260"/>
      <c r="N2321" s="260"/>
      <c r="O2321" s="260"/>
      <c r="P2321" s="211"/>
      <c r="Q2321" s="261"/>
      <c r="R2321" s="208" t="str">
        <f ca="1">IF(ISERROR($V2321),"",OFFSET('Smelter Look-up'!$C$4,$V2321-4,0)&amp;"")</f>
        <v/>
      </c>
      <c r="S2321" s="215" t="str">
        <f t="shared" ca="1" si="327"/>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si="328"/>
        <v>0</v>
      </c>
      <c r="Y2321" s="263"/>
      <c r="Z2321" s="263"/>
      <c r="AB2321" s="265" t="str">
        <f t="shared" si="329"/>
        <v/>
      </c>
    </row>
    <row r="2322" spans="1:28" s="264" customFormat="1" ht="20.399999999999999">
      <c r="A2322" s="207"/>
      <c r="B2322" s="208"/>
      <c r="C2322" s="212"/>
      <c r="D2322" s="270"/>
      <c r="E2322" s="208"/>
      <c r="F2322" s="208"/>
      <c r="G2322" s="208"/>
      <c r="H2322" s="209"/>
      <c r="I2322" s="210"/>
      <c r="J2322" s="210"/>
      <c r="K2322" s="260"/>
      <c r="L2322" s="260"/>
      <c r="M2322" s="260"/>
      <c r="N2322" s="260"/>
      <c r="O2322" s="260"/>
      <c r="P2322" s="211"/>
      <c r="Q2322" s="261"/>
      <c r="R2322" s="208" t="str">
        <f ca="1">IF(ISERROR($V2322),"",OFFSET('Smelter Look-up'!$C$4,$V2322-4,0)&amp;"")</f>
        <v/>
      </c>
      <c r="S2322" s="215" t="str">
        <f t="shared" ca="1" si="327"/>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si="328"/>
        <v>0</v>
      </c>
      <c r="Y2322" s="263"/>
      <c r="Z2322" s="263"/>
      <c r="AB2322" s="265" t="str">
        <f t="shared" si="329"/>
        <v/>
      </c>
    </row>
    <row r="2323" spans="1:28" s="264" customFormat="1" ht="20.399999999999999">
      <c r="A2323" s="207"/>
      <c r="B2323" s="208"/>
      <c r="C2323" s="212"/>
      <c r="D2323" s="270"/>
      <c r="E2323" s="208"/>
      <c r="F2323" s="208"/>
      <c r="G2323" s="208"/>
      <c r="H2323" s="209"/>
      <c r="I2323" s="210"/>
      <c r="J2323" s="210"/>
      <c r="K2323" s="260"/>
      <c r="L2323" s="260"/>
      <c r="M2323" s="260"/>
      <c r="N2323" s="260"/>
      <c r="O2323" s="260"/>
      <c r="P2323" s="211"/>
      <c r="Q2323" s="261"/>
      <c r="R2323" s="208" t="str">
        <f ca="1">IF(ISERROR($V2323),"",OFFSET('Smelter Look-up'!$C$4,$V2323-4,0)&amp;"")</f>
        <v/>
      </c>
      <c r="S2323" s="215" t="str">
        <f t="shared" ca="1" si="327"/>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si="328"/>
        <v>0</v>
      </c>
      <c r="Y2323" s="263"/>
      <c r="Z2323" s="263"/>
      <c r="AB2323" s="265" t="str">
        <f t="shared" si="329"/>
        <v/>
      </c>
    </row>
    <row r="2324" spans="1:28" s="264" customFormat="1" ht="20.399999999999999">
      <c r="A2324" s="207"/>
      <c r="B2324" s="208"/>
      <c r="C2324" s="212"/>
      <c r="D2324" s="270"/>
      <c r="E2324" s="208"/>
      <c r="F2324" s="208"/>
      <c r="G2324" s="208"/>
      <c r="H2324" s="209"/>
      <c r="I2324" s="210"/>
      <c r="J2324" s="210"/>
      <c r="K2324" s="260"/>
      <c r="L2324" s="260"/>
      <c r="M2324" s="260"/>
      <c r="N2324" s="260"/>
      <c r="O2324" s="260"/>
      <c r="P2324" s="211"/>
      <c r="Q2324" s="261"/>
      <c r="R2324" s="208" t="str">
        <f ca="1">IF(ISERROR($V2324),"",OFFSET('Smelter Look-up'!$C$4,$V2324-4,0)&amp;"")</f>
        <v/>
      </c>
      <c r="S2324" s="215" t="str">
        <f t="shared" ca="1" si="327"/>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si="328"/>
        <v>0</v>
      </c>
      <c r="Y2324" s="263"/>
      <c r="Z2324" s="263"/>
      <c r="AB2324" s="265" t="str">
        <f t="shared" si="329"/>
        <v/>
      </c>
    </row>
    <row r="2325" spans="1:28" s="264" customFormat="1" ht="20.399999999999999">
      <c r="A2325" s="207"/>
      <c r="B2325" s="208"/>
      <c r="C2325" s="212"/>
      <c r="D2325" s="270"/>
      <c r="E2325" s="208"/>
      <c r="F2325" s="208"/>
      <c r="G2325" s="208"/>
      <c r="H2325" s="209"/>
      <c r="I2325" s="210"/>
      <c r="J2325" s="210"/>
      <c r="K2325" s="260"/>
      <c r="L2325" s="260"/>
      <c r="M2325" s="260"/>
      <c r="N2325" s="260"/>
      <c r="O2325" s="260"/>
      <c r="P2325" s="211"/>
      <c r="Q2325" s="261"/>
      <c r="R2325" s="208" t="str">
        <f ca="1">IF(ISERROR($V2325),"",OFFSET('Smelter Look-up'!$C$4,$V2325-4,0)&amp;"")</f>
        <v/>
      </c>
      <c r="S2325" s="215" t="str">
        <f t="shared" ca="1" si="327"/>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si="328"/>
        <v>0</v>
      </c>
      <c r="Y2325" s="263"/>
      <c r="Z2325" s="263"/>
      <c r="AB2325" s="265" t="str">
        <f t="shared" si="329"/>
        <v/>
      </c>
    </row>
    <row r="2326" spans="1:28" s="264" customFormat="1" ht="20.399999999999999">
      <c r="A2326" s="207"/>
      <c r="B2326" s="208"/>
      <c r="C2326" s="212"/>
      <c r="D2326" s="270"/>
      <c r="E2326" s="208"/>
      <c r="F2326" s="208"/>
      <c r="G2326" s="208"/>
      <c r="H2326" s="209"/>
      <c r="I2326" s="210"/>
      <c r="J2326" s="210"/>
      <c r="K2326" s="260"/>
      <c r="L2326" s="260"/>
      <c r="M2326" s="260"/>
      <c r="N2326" s="260"/>
      <c r="O2326" s="260"/>
      <c r="P2326" s="211"/>
      <c r="Q2326" s="261"/>
      <c r="R2326" s="208" t="str">
        <f ca="1">IF(ISERROR($V2326),"",OFFSET('Smelter Look-up'!$C$4,$V2326-4,0)&amp;"")</f>
        <v/>
      </c>
      <c r="S2326" s="215" t="str">
        <f t="shared" ca="1" si="327"/>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si="328"/>
        <v>0</v>
      </c>
      <c r="Y2326" s="263"/>
      <c r="Z2326" s="263"/>
      <c r="AB2326" s="265" t="str">
        <f t="shared" si="329"/>
        <v/>
      </c>
    </row>
    <row r="2327" spans="1:28" s="264" customFormat="1" ht="20.399999999999999">
      <c r="A2327" s="207"/>
      <c r="B2327" s="208"/>
      <c r="C2327" s="212"/>
      <c r="D2327" s="270"/>
      <c r="E2327" s="208"/>
      <c r="F2327" s="208"/>
      <c r="G2327" s="208"/>
      <c r="H2327" s="209"/>
      <c r="I2327" s="210"/>
      <c r="J2327" s="210"/>
      <c r="K2327" s="260"/>
      <c r="L2327" s="260"/>
      <c r="M2327" s="260"/>
      <c r="N2327" s="260"/>
      <c r="O2327" s="260"/>
      <c r="P2327" s="211"/>
      <c r="Q2327" s="261"/>
      <c r="R2327" s="208" t="str">
        <f ca="1">IF(ISERROR($V2327),"",OFFSET('Smelter Look-up'!$C$4,$V2327-4,0)&amp;"")</f>
        <v/>
      </c>
      <c r="S2327" s="215" t="str">
        <f t="shared" ca="1" si="327"/>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si="328"/>
        <v>0</v>
      </c>
      <c r="Y2327" s="263"/>
      <c r="Z2327" s="263"/>
      <c r="AB2327" s="265" t="str">
        <f t="shared" si="329"/>
        <v/>
      </c>
    </row>
    <row r="2328" spans="1:28" s="264" customFormat="1" ht="20.399999999999999">
      <c r="A2328" s="207"/>
      <c r="B2328" s="208"/>
      <c r="C2328" s="212"/>
      <c r="D2328" s="270"/>
      <c r="E2328" s="208"/>
      <c r="F2328" s="208"/>
      <c r="G2328" s="208"/>
      <c r="H2328" s="209"/>
      <c r="I2328" s="210"/>
      <c r="J2328" s="210"/>
      <c r="K2328" s="260"/>
      <c r="L2328" s="260"/>
      <c r="M2328" s="260"/>
      <c r="N2328" s="260"/>
      <c r="O2328" s="260"/>
      <c r="P2328" s="211"/>
      <c r="Q2328" s="261"/>
      <c r="R2328" s="208" t="str">
        <f ca="1">IF(ISERROR($V2328),"",OFFSET('Smelter Look-up'!$C$4,$V2328-4,0)&amp;"")</f>
        <v/>
      </c>
      <c r="S2328" s="215" t="str">
        <f t="shared" ca="1" si="327"/>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si="328"/>
        <v>0</v>
      </c>
      <c r="Y2328" s="263"/>
      <c r="Z2328" s="263"/>
      <c r="AB2328" s="265" t="str">
        <f t="shared" si="329"/>
        <v/>
      </c>
    </row>
    <row r="2329" spans="1:28" s="264" customFormat="1" ht="20.399999999999999">
      <c r="A2329" s="207"/>
      <c r="B2329" s="208"/>
      <c r="C2329" s="212"/>
      <c r="D2329" s="270"/>
      <c r="E2329" s="208"/>
      <c r="F2329" s="208"/>
      <c r="G2329" s="208"/>
      <c r="H2329" s="209"/>
      <c r="I2329" s="210"/>
      <c r="J2329" s="210"/>
      <c r="K2329" s="260"/>
      <c r="L2329" s="260"/>
      <c r="M2329" s="260"/>
      <c r="N2329" s="260"/>
      <c r="O2329" s="260"/>
      <c r="P2329" s="211"/>
      <c r="Q2329" s="261"/>
      <c r="R2329" s="208" t="str">
        <f ca="1">IF(ISERROR($V2329),"",OFFSET('Smelter Look-up'!$C$4,$V2329-4,0)&amp;"")</f>
        <v/>
      </c>
      <c r="S2329" s="215" t="str">
        <f t="shared" ca="1" si="327"/>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si="328"/>
        <v>0</v>
      </c>
      <c r="Y2329" s="263"/>
      <c r="Z2329" s="263"/>
      <c r="AB2329" s="265" t="str">
        <f t="shared" si="329"/>
        <v/>
      </c>
    </row>
    <row r="2330" spans="1:28" s="264" customFormat="1" ht="20.399999999999999">
      <c r="A2330" s="207"/>
      <c r="B2330" s="208"/>
      <c r="C2330" s="212"/>
      <c r="D2330" s="270"/>
      <c r="E2330" s="208"/>
      <c r="F2330" s="208"/>
      <c r="G2330" s="208"/>
      <c r="H2330" s="209"/>
      <c r="I2330" s="210"/>
      <c r="J2330" s="210"/>
      <c r="K2330" s="260"/>
      <c r="L2330" s="260"/>
      <c r="M2330" s="260"/>
      <c r="N2330" s="260"/>
      <c r="O2330" s="260"/>
      <c r="P2330" s="211"/>
      <c r="Q2330" s="261"/>
      <c r="R2330" s="208" t="str">
        <f ca="1">IF(ISERROR($V2330),"",OFFSET('Smelter Look-up'!$C$4,$V2330-4,0)&amp;"")</f>
        <v/>
      </c>
      <c r="S2330" s="215" t="str">
        <f t="shared" ca="1" si="327"/>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si="328"/>
        <v>0</v>
      </c>
      <c r="Y2330" s="263"/>
      <c r="Z2330" s="263"/>
      <c r="AB2330" s="265" t="str">
        <f t="shared" si="329"/>
        <v/>
      </c>
    </row>
    <row r="2331" spans="1:28" s="264" customFormat="1" ht="20.399999999999999">
      <c r="A2331" s="207"/>
      <c r="B2331" s="208"/>
      <c r="C2331" s="212"/>
      <c r="D2331" s="270"/>
      <c r="E2331" s="208"/>
      <c r="F2331" s="208"/>
      <c r="G2331" s="208"/>
      <c r="H2331" s="209"/>
      <c r="I2331" s="210"/>
      <c r="J2331" s="210"/>
      <c r="K2331" s="260"/>
      <c r="L2331" s="260"/>
      <c r="M2331" s="260"/>
      <c r="N2331" s="260"/>
      <c r="O2331" s="260"/>
      <c r="P2331" s="211"/>
      <c r="Q2331" s="261"/>
      <c r="R2331" s="208" t="str">
        <f ca="1">IF(ISERROR($V2331),"",OFFSET('Smelter Look-up'!$C$4,$V2331-4,0)&amp;"")</f>
        <v/>
      </c>
      <c r="S2331" s="215" t="str">
        <f t="shared" ca="1" si="327"/>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si="328"/>
        <v>0</v>
      </c>
      <c r="Y2331" s="263"/>
      <c r="Z2331" s="263"/>
      <c r="AB2331" s="265" t="str">
        <f t="shared" si="329"/>
        <v/>
      </c>
    </row>
    <row r="2332" spans="1:28" s="264" customFormat="1" ht="20.399999999999999">
      <c r="A2332" s="207"/>
      <c r="B2332" s="208"/>
      <c r="C2332" s="212"/>
      <c r="D2332" s="270"/>
      <c r="E2332" s="208"/>
      <c r="F2332" s="208"/>
      <c r="G2332" s="208"/>
      <c r="H2332" s="209"/>
      <c r="I2332" s="210"/>
      <c r="J2332" s="210"/>
      <c r="K2332" s="260"/>
      <c r="L2332" s="260"/>
      <c r="M2332" s="260"/>
      <c r="N2332" s="260"/>
      <c r="O2332" s="260"/>
      <c r="P2332" s="211"/>
      <c r="Q2332" s="261"/>
      <c r="R2332" s="208" t="str">
        <f ca="1">IF(ISERROR($V2332),"",OFFSET('Smelter Look-up'!$C$4,$V2332-4,0)&amp;"")</f>
        <v/>
      </c>
      <c r="S2332" s="215" t="str">
        <f t="shared" ref="S2332:S2362" ca="1" si="330">IF(B2332="","",IF(ISERROR(MATCH($E2332,CL,0)),"Unknown",INDIRECT("'C'!$A$"&amp;MATCH($E2332,CL,0)+1)))</f>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ref="X2332:X2362" si="331">IF(AND(C2332="Smelter not listed",OR(LEN(D2332)=0,LEN(E2332)=0)),1,0)</f>
        <v>0</v>
      </c>
      <c r="Y2332" s="263"/>
      <c r="Z2332" s="263"/>
      <c r="AB2332" s="265" t="str">
        <f t="shared" ref="AB2332:AB2362" si="332">B2332&amp;C2332</f>
        <v/>
      </c>
    </row>
    <row r="2333" spans="1:28" s="264" customFormat="1" ht="20.399999999999999">
      <c r="A2333" s="207"/>
      <c r="B2333" s="208"/>
      <c r="C2333" s="212"/>
      <c r="D2333" s="270"/>
      <c r="E2333" s="208"/>
      <c r="F2333" s="208"/>
      <c r="G2333" s="208"/>
      <c r="H2333" s="209"/>
      <c r="I2333" s="210"/>
      <c r="J2333" s="210"/>
      <c r="K2333" s="260"/>
      <c r="L2333" s="260"/>
      <c r="M2333" s="260"/>
      <c r="N2333" s="260"/>
      <c r="O2333" s="260"/>
      <c r="P2333" s="211"/>
      <c r="Q2333" s="261"/>
      <c r="R2333" s="208" t="str">
        <f ca="1">IF(ISERROR($V2333),"",OFFSET('Smelter Look-up'!$C$4,$V2333-4,0)&amp;"")</f>
        <v/>
      </c>
      <c r="S2333" s="215" t="str">
        <f t="shared" ca="1" si="330"/>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si="331"/>
        <v>0</v>
      </c>
      <c r="Y2333" s="263"/>
      <c r="Z2333" s="263"/>
      <c r="AB2333" s="265" t="str">
        <f t="shared" si="332"/>
        <v/>
      </c>
    </row>
    <row r="2334" spans="1:28" s="264" customFormat="1" ht="20.399999999999999">
      <c r="A2334" s="207"/>
      <c r="B2334" s="208"/>
      <c r="C2334" s="212"/>
      <c r="D2334" s="270"/>
      <c r="E2334" s="208"/>
      <c r="F2334" s="208"/>
      <c r="G2334" s="208"/>
      <c r="H2334" s="209"/>
      <c r="I2334" s="210"/>
      <c r="J2334" s="210"/>
      <c r="K2334" s="260"/>
      <c r="L2334" s="260"/>
      <c r="M2334" s="260"/>
      <c r="N2334" s="260"/>
      <c r="O2334" s="260"/>
      <c r="P2334" s="211"/>
      <c r="Q2334" s="261"/>
      <c r="R2334" s="208" t="str">
        <f ca="1">IF(ISERROR($V2334),"",OFFSET('Smelter Look-up'!$C$4,$V2334-4,0)&amp;"")</f>
        <v/>
      </c>
      <c r="S2334" s="215" t="str">
        <f t="shared" ca="1" si="330"/>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si="331"/>
        <v>0</v>
      </c>
      <c r="Y2334" s="263"/>
      <c r="Z2334" s="263"/>
      <c r="AB2334" s="265" t="str">
        <f t="shared" si="332"/>
        <v/>
      </c>
    </row>
    <row r="2335" spans="1:28" s="264" customFormat="1" ht="20.399999999999999">
      <c r="A2335" s="207"/>
      <c r="B2335" s="208"/>
      <c r="C2335" s="212"/>
      <c r="D2335" s="270"/>
      <c r="E2335" s="208"/>
      <c r="F2335" s="208"/>
      <c r="G2335" s="208"/>
      <c r="H2335" s="209"/>
      <c r="I2335" s="210"/>
      <c r="J2335" s="210"/>
      <c r="K2335" s="260"/>
      <c r="L2335" s="260"/>
      <c r="M2335" s="260"/>
      <c r="N2335" s="260"/>
      <c r="O2335" s="260"/>
      <c r="P2335" s="211"/>
      <c r="Q2335" s="261"/>
      <c r="R2335" s="208" t="str">
        <f ca="1">IF(ISERROR($V2335),"",OFFSET('Smelter Look-up'!$C$4,$V2335-4,0)&amp;"")</f>
        <v/>
      </c>
      <c r="S2335" s="215" t="str">
        <f t="shared" ca="1" si="330"/>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si="331"/>
        <v>0</v>
      </c>
      <c r="Y2335" s="263"/>
      <c r="Z2335" s="263"/>
      <c r="AB2335" s="265" t="str">
        <f t="shared" si="332"/>
        <v/>
      </c>
    </row>
    <row r="2336" spans="1:28" s="264" customFormat="1" ht="20.399999999999999">
      <c r="A2336" s="207"/>
      <c r="B2336" s="208"/>
      <c r="C2336" s="212"/>
      <c r="D2336" s="270"/>
      <c r="E2336" s="208"/>
      <c r="F2336" s="208"/>
      <c r="G2336" s="208"/>
      <c r="H2336" s="209"/>
      <c r="I2336" s="210"/>
      <c r="J2336" s="210"/>
      <c r="K2336" s="260"/>
      <c r="L2336" s="260"/>
      <c r="M2336" s="260"/>
      <c r="N2336" s="260"/>
      <c r="O2336" s="260"/>
      <c r="P2336" s="211"/>
      <c r="Q2336" s="261"/>
      <c r="R2336" s="208" t="str">
        <f ca="1">IF(ISERROR($V2336),"",OFFSET('Smelter Look-up'!$C$4,$V2336-4,0)&amp;"")</f>
        <v/>
      </c>
      <c r="S2336" s="215" t="str">
        <f t="shared" ca="1" si="330"/>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si="331"/>
        <v>0</v>
      </c>
      <c r="Y2336" s="263"/>
      <c r="Z2336" s="263"/>
      <c r="AB2336" s="265" t="str">
        <f t="shared" si="332"/>
        <v/>
      </c>
    </row>
    <row r="2337" spans="1:28" s="264" customFormat="1" ht="20.399999999999999">
      <c r="A2337" s="207"/>
      <c r="B2337" s="208"/>
      <c r="C2337" s="212"/>
      <c r="D2337" s="270"/>
      <c r="E2337" s="208"/>
      <c r="F2337" s="208"/>
      <c r="G2337" s="208"/>
      <c r="H2337" s="209"/>
      <c r="I2337" s="210"/>
      <c r="J2337" s="210"/>
      <c r="K2337" s="260"/>
      <c r="L2337" s="260"/>
      <c r="M2337" s="260"/>
      <c r="N2337" s="260"/>
      <c r="O2337" s="260"/>
      <c r="P2337" s="211"/>
      <c r="Q2337" s="261"/>
      <c r="R2337" s="208" t="str">
        <f ca="1">IF(ISERROR($V2337),"",OFFSET('Smelter Look-up'!$C$4,$V2337-4,0)&amp;"")</f>
        <v/>
      </c>
      <c r="S2337" s="215" t="str">
        <f t="shared" ca="1" si="330"/>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si="331"/>
        <v>0</v>
      </c>
      <c r="Y2337" s="263"/>
      <c r="Z2337" s="263"/>
      <c r="AB2337" s="265" t="str">
        <f t="shared" si="332"/>
        <v/>
      </c>
    </row>
    <row r="2338" spans="1:28" s="264" customFormat="1" ht="20.399999999999999">
      <c r="A2338" s="207"/>
      <c r="B2338" s="208"/>
      <c r="C2338" s="212"/>
      <c r="D2338" s="270"/>
      <c r="E2338" s="208"/>
      <c r="F2338" s="208"/>
      <c r="G2338" s="208"/>
      <c r="H2338" s="209"/>
      <c r="I2338" s="210"/>
      <c r="J2338" s="210"/>
      <c r="K2338" s="260"/>
      <c r="L2338" s="260"/>
      <c r="M2338" s="260"/>
      <c r="N2338" s="260"/>
      <c r="O2338" s="260"/>
      <c r="P2338" s="211"/>
      <c r="Q2338" s="261"/>
      <c r="R2338" s="208" t="str">
        <f ca="1">IF(ISERROR($V2338),"",OFFSET('Smelter Look-up'!$C$4,$V2338-4,0)&amp;"")</f>
        <v/>
      </c>
      <c r="S2338" s="215" t="str">
        <f t="shared" ca="1" si="330"/>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si="331"/>
        <v>0</v>
      </c>
      <c r="Y2338" s="263"/>
      <c r="Z2338" s="263"/>
      <c r="AB2338" s="265" t="str">
        <f t="shared" si="332"/>
        <v/>
      </c>
    </row>
    <row r="2339" spans="1:28" s="264" customFormat="1" ht="20.399999999999999">
      <c r="A2339" s="207"/>
      <c r="B2339" s="208"/>
      <c r="C2339" s="212"/>
      <c r="D2339" s="270"/>
      <c r="E2339" s="208"/>
      <c r="F2339" s="208"/>
      <c r="G2339" s="208"/>
      <c r="H2339" s="209"/>
      <c r="I2339" s="210"/>
      <c r="J2339" s="210"/>
      <c r="K2339" s="260"/>
      <c r="L2339" s="260"/>
      <c r="M2339" s="260"/>
      <c r="N2339" s="260"/>
      <c r="O2339" s="260"/>
      <c r="P2339" s="211"/>
      <c r="Q2339" s="261"/>
      <c r="R2339" s="208" t="str">
        <f ca="1">IF(ISERROR($V2339),"",OFFSET('Smelter Look-up'!$C$4,$V2339-4,0)&amp;"")</f>
        <v/>
      </c>
      <c r="S2339" s="215" t="str">
        <f t="shared" ca="1" si="330"/>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si="331"/>
        <v>0</v>
      </c>
      <c r="Y2339" s="263"/>
      <c r="Z2339" s="263"/>
      <c r="AB2339" s="265" t="str">
        <f t="shared" si="332"/>
        <v/>
      </c>
    </row>
    <row r="2340" spans="1:28" s="264" customFormat="1" ht="20.399999999999999">
      <c r="A2340" s="207"/>
      <c r="B2340" s="208"/>
      <c r="C2340" s="212"/>
      <c r="D2340" s="270"/>
      <c r="E2340" s="208"/>
      <c r="F2340" s="208"/>
      <c r="G2340" s="208"/>
      <c r="H2340" s="209"/>
      <c r="I2340" s="210"/>
      <c r="J2340" s="210"/>
      <c r="K2340" s="260"/>
      <c r="L2340" s="260"/>
      <c r="M2340" s="260"/>
      <c r="N2340" s="260"/>
      <c r="O2340" s="260"/>
      <c r="P2340" s="211"/>
      <c r="Q2340" s="261"/>
      <c r="R2340" s="208" t="str">
        <f ca="1">IF(ISERROR($V2340),"",OFFSET('Smelter Look-up'!$C$4,$V2340-4,0)&amp;"")</f>
        <v/>
      </c>
      <c r="S2340" s="215" t="str">
        <f t="shared" ca="1" si="330"/>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si="331"/>
        <v>0</v>
      </c>
      <c r="Y2340" s="263"/>
      <c r="Z2340" s="263"/>
      <c r="AB2340" s="265" t="str">
        <f t="shared" si="332"/>
        <v/>
      </c>
    </row>
    <row r="2341" spans="1:28" s="264" customFormat="1" ht="20.399999999999999">
      <c r="A2341" s="207"/>
      <c r="B2341" s="208"/>
      <c r="C2341" s="212"/>
      <c r="D2341" s="270"/>
      <c r="E2341" s="208"/>
      <c r="F2341" s="208"/>
      <c r="G2341" s="208"/>
      <c r="H2341" s="209"/>
      <c r="I2341" s="210"/>
      <c r="J2341" s="210"/>
      <c r="K2341" s="260"/>
      <c r="L2341" s="260"/>
      <c r="M2341" s="260"/>
      <c r="N2341" s="260"/>
      <c r="O2341" s="260"/>
      <c r="P2341" s="211"/>
      <c r="Q2341" s="261"/>
      <c r="R2341" s="208" t="str">
        <f ca="1">IF(ISERROR($V2341),"",OFFSET('Smelter Look-up'!$C$4,$V2341-4,0)&amp;"")</f>
        <v/>
      </c>
      <c r="S2341" s="215" t="str">
        <f t="shared" ca="1" si="330"/>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si="331"/>
        <v>0</v>
      </c>
      <c r="Y2341" s="263"/>
      <c r="Z2341" s="263"/>
      <c r="AB2341" s="265" t="str">
        <f t="shared" si="332"/>
        <v/>
      </c>
    </row>
    <row r="2342" spans="1:28" s="264" customFormat="1" ht="20.399999999999999">
      <c r="A2342" s="207"/>
      <c r="B2342" s="208"/>
      <c r="C2342" s="212"/>
      <c r="D2342" s="270"/>
      <c r="E2342" s="208"/>
      <c r="F2342" s="208"/>
      <c r="G2342" s="208"/>
      <c r="H2342" s="209"/>
      <c r="I2342" s="210"/>
      <c r="J2342" s="210"/>
      <c r="K2342" s="260"/>
      <c r="L2342" s="260"/>
      <c r="M2342" s="260"/>
      <c r="N2342" s="260"/>
      <c r="O2342" s="260"/>
      <c r="P2342" s="211"/>
      <c r="Q2342" s="261"/>
      <c r="R2342" s="208" t="str">
        <f ca="1">IF(ISERROR($V2342),"",OFFSET('Smelter Look-up'!$C$4,$V2342-4,0)&amp;"")</f>
        <v/>
      </c>
      <c r="S2342" s="215" t="str">
        <f t="shared" ca="1" si="330"/>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si="331"/>
        <v>0</v>
      </c>
      <c r="Y2342" s="263"/>
      <c r="Z2342" s="263"/>
      <c r="AB2342" s="265" t="str">
        <f t="shared" si="332"/>
        <v/>
      </c>
    </row>
    <row r="2343" spans="1:28" s="264" customFormat="1" ht="20.399999999999999">
      <c r="A2343" s="207"/>
      <c r="B2343" s="208"/>
      <c r="C2343" s="212"/>
      <c r="D2343" s="270"/>
      <c r="E2343" s="208"/>
      <c r="F2343" s="208"/>
      <c r="G2343" s="208"/>
      <c r="H2343" s="209"/>
      <c r="I2343" s="210"/>
      <c r="J2343" s="210"/>
      <c r="K2343" s="260"/>
      <c r="L2343" s="260"/>
      <c r="M2343" s="260"/>
      <c r="N2343" s="260"/>
      <c r="O2343" s="260"/>
      <c r="P2343" s="211"/>
      <c r="Q2343" s="261"/>
      <c r="R2343" s="208" t="str">
        <f ca="1">IF(ISERROR($V2343),"",OFFSET('Smelter Look-up'!$C$4,$V2343-4,0)&amp;"")</f>
        <v/>
      </c>
      <c r="S2343" s="215" t="str">
        <f t="shared" ca="1" si="330"/>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si="331"/>
        <v>0</v>
      </c>
      <c r="Y2343" s="263"/>
      <c r="Z2343" s="263"/>
      <c r="AB2343" s="265" t="str">
        <f t="shared" si="332"/>
        <v/>
      </c>
    </row>
    <row r="2344" spans="1:28" s="264" customFormat="1" ht="20.399999999999999">
      <c r="A2344" s="207"/>
      <c r="B2344" s="208"/>
      <c r="C2344" s="212"/>
      <c r="D2344" s="270"/>
      <c r="E2344" s="208"/>
      <c r="F2344" s="208"/>
      <c r="G2344" s="208"/>
      <c r="H2344" s="209"/>
      <c r="I2344" s="210"/>
      <c r="J2344" s="210"/>
      <c r="K2344" s="260"/>
      <c r="L2344" s="260"/>
      <c r="M2344" s="260"/>
      <c r="N2344" s="260"/>
      <c r="O2344" s="260"/>
      <c r="P2344" s="211"/>
      <c r="Q2344" s="261"/>
      <c r="R2344" s="208" t="str">
        <f ca="1">IF(ISERROR($V2344),"",OFFSET('Smelter Look-up'!$C$4,$V2344-4,0)&amp;"")</f>
        <v/>
      </c>
      <c r="S2344" s="215" t="str">
        <f t="shared" ca="1" si="330"/>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si="331"/>
        <v>0</v>
      </c>
      <c r="Y2344" s="263"/>
      <c r="Z2344" s="263"/>
      <c r="AB2344" s="265" t="str">
        <f t="shared" si="332"/>
        <v/>
      </c>
    </row>
    <row r="2345" spans="1:28" s="264" customFormat="1" ht="20.399999999999999">
      <c r="A2345" s="207"/>
      <c r="B2345" s="208"/>
      <c r="C2345" s="212"/>
      <c r="D2345" s="270"/>
      <c r="E2345" s="208"/>
      <c r="F2345" s="208"/>
      <c r="G2345" s="208"/>
      <c r="H2345" s="209"/>
      <c r="I2345" s="210"/>
      <c r="J2345" s="210"/>
      <c r="K2345" s="260"/>
      <c r="L2345" s="260"/>
      <c r="M2345" s="260"/>
      <c r="N2345" s="260"/>
      <c r="O2345" s="260"/>
      <c r="P2345" s="211"/>
      <c r="Q2345" s="261"/>
      <c r="R2345" s="208" t="str">
        <f ca="1">IF(ISERROR($V2345),"",OFFSET('Smelter Look-up'!$C$4,$V2345-4,0)&amp;"")</f>
        <v/>
      </c>
      <c r="S2345" s="215" t="str">
        <f t="shared" ca="1" si="330"/>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si="331"/>
        <v>0</v>
      </c>
      <c r="Y2345" s="263"/>
      <c r="Z2345" s="263"/>
      <c r="AB2345" s="265" t="str">
        <f t="shared" si="332"/>
        <v/>
      </c>
    </row>
    <row r="2346" spans="1:28" s="264" customFormat="1" ht="20.399999999999999">
      <c r="A2346" s="207"/>
      <c r="B2346" s="208"/>
      <c r="C2346" s="212"/>
      <c r="D2346" s="270"/>
      <c r="E2346" s="208"/>
      <c r="F2346" s="208"/>
      <c r="G2346" s="208"/>
      <c r="H2346" s="209"/>
      <c r="I2346" s="210"/>
      <c r="J2346" s="210"/>
      <c r="K2346" s="260"/>
      <c r="L2346" s="260"/>
      <c r="M2346" s="260"/>
      <c r="N2346" s="260"/>
      <c r="O2346" s="260"/>
      <c r="P2346" s="211"/>
      <c r="Q2346" s="261"/>
      <c r="R2346" s="208" t="str">
        <f ca="1">IF(ISERROR($V2346),"",OFFSET('Smelter Look-up'!$C$4,$V2346-4,0)&amp;"")</f>
        <v/>
      </c>
      <c r="S2346" s="215" t="str">
        <f t="shared" ca="1" si="330"/>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si="331"/>
        <v>0</v>
      </c>
      <c r="Y2346" s="263"/>
      <c r="Z2346" s="263"/>
      <c r="AB2346" s="265" t="str">
        <f t="shared" si="332"/>
        <v/>
      </c>
    </row>
    <row r="2347" spans="1:28" s="264" customFormat="1" ht="20.399999999999999">
      <c r="A2347" s="207"/>
      <c r="B2347" s="208"/>
      <c r="C2347" s="212"/>
      <c r="D2347" s="270"/>
      <c r="E2347" s="208"/>
      <c r="F2347" s="208"/>
      <c r="G2347" s="208"/>
      <c r="H2347" s="209"/>
      <c r="I2347" s="210"/>
      <c r="J2347" s="210"/>
      <c r="K2347" s="260"/>
      <c r="L2347" s="260"/>
      <c r="M2347" s="260"/>
      <c r="N2347" s="260"/>
      <c r="O2347" s="260"/>
      <c r="P2347" s="211"/>
      <c r="Q2347" s="261"/>
      <c r="R2347" s="208" t="str">
        <f ca="1">IF(ISERROR($V2347),"",OFFSET('Smelter Look-up'!$C$4,$V2347-4,0)&amp;"")</f>
        <v/>
      </c>
      <c r="S2347" s="215" t="str">
        <f t="shared" ca="1" si="330"/>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si="331"/>
        <v>0</v>
      </c>
      <c r="Y2347" s="263"/>
      <c r="Z2347" s="263"/>
      <c r="AB2347" s="265" t="str">
        <f t="shared" si="332"/>
        <v/>
      </c>
    </row>
    <row r="2348" spans="1:28" s="264" customFormat="1" ht="20.399999999999999">
      <c r="A2348" s="207"/>
      <c r="B2348" s="208"/>
      <c r="C2348" s="212"/>
      <c r="D2348" s="270"/>
      <c r="E2348" s="208"/>
      <c r="F2348" s="208"/>
      <c r="G2348" s="208"/>
      <c r="H2348" s="209"/>
      <c r="I2348" s="210"/>
      <c r="J2348" s="210"/>
      <c r="K2348" s="260"/>
      <c r="L2348" s="260"/>
      <c r="M2348" s="260"/>
      <c r="N2348" s="260"/>
      <c r="O2348" s="260"/>
      <c r="P2348" s="211"/>
      <c r="Q2348" s="261"/>
      <c r="R2348" s="208" t="str">
        <f ca="1">IF(ISERROR($V2348),"",OFFSET('Smelter Look-up'!$C$4,$V2348-4,0)&amp;"")</f>
        <v/>
      </c>
      <c r="S2348" s="215" t="str">
        <f t="shared" ca="1" si="330"/>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si="331"/>
        <v>0</v>
      </c>
      <c r="Y2348" s="263"/>
      <c r="Z2348" s="263"/>
      <c r="AB2348" s="265" t="str">
        <f t="shared" si="332"/>
        <v/>
      </c>
    </row>
    <row r="2349" spans="1:28" s="264" customFormat="1" ht="20.399999999999999">
      <c r="A2349" s="207"/>
      <c r="B2349" s="208"/>
      <c r="C2349" s="212"/>
      <c r="D2349" s="270"/>
      <c r="E2349" s="208"/>
      <c r="F2349" s="208"/>
      <c r="G2349" s="208"/>
      <c r="H2349" s="209"/>
      <c r="I2349" s="210"/>
      <c r="J2349" s="210"/>
      <c r="K2349" s="260"/>
      <c r="L2349" s="260"/>
      <c r="M2349" s="260"/>
      <c r="N2349" s="260"/>
      <c r="O2349" s="260"/>
      <c r="P2349" s="211"/>
      <c r="Q2349" s="261"/>
      <c r="R2349" s="208" t="str">
        <f ca="1">IF(ISERROR($V2349),"",OFFSET('Smelter Look-up'!$C$4,$V2349-4,0)&amp;"")</f>
        <v/>
      </c>
      <c r="S2349" s="215" t="str">
        <f t="shared" ca="1" si="330"/>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si="331"/>
        <v>0</v>
      </c>
      <c r="Y2349" s="263"/>
      <c r="Z2349" s="263"/>
      <c r="AB2349" s="265" t="str">
        <f t="shared" si="332"/>
        <v/>
      </c>
    </row>
    <row r="2350" spans="1:28" s="264" customFormat="1" ht="20.399999999999999">
      <c r="A2350" s="207"/>
      <c r="B2350" s="208"/>
      <c r="C2350" s="212"/>
      <c r="D2350" s="270"/>
      <c r="E2350" s="208"/>
      <c r="F2350" s="208"/>
      <c r="G2350" s="208"/>
      <c r="H2350" s="209"/>
      <c r="I2350" s="210"/>
      <c r="J2350" s="210"/>
      <c r="K2350" s="260"/>
      <c r="L2350" s="260"/>
      <c r="M2350" s="260"/>
      <c r="N2350" s="260"/>
      <c r="O2350" s="260"/>
      <c r="P2350" s="211"/>
      <c r="Q2350" s="261"/>
      <c r="R2350" s="208" t="str">
        <f ca="1">IF(ISERROR($V2350),"",OFFSET('Smelter Look-up'!$C$4,$V2350-4,0)&amp;"")</f>
        <v/>
      </c>
      <c r="S2350" s="215" t="str">
        <f t="shared" ca="1" si="330"/>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si="331"/>
        <v>0</v>
      </c>
      <c r="Y2350" s="263"/>
      <c r="Z2350" s="263"/>
      <c r="AB2350" s="265" t="str">
        <f t="shared" si="332"/>
        <v/>
      </c>
    </row>
    <row r="2351" spans="1:28" s="264" customFormat="1" ht="20.399999999999999">
      <c r="A2351" s="207"/>
      <c r="B2351" s="208"/>
      <c r="C2351" s="212"/>
      <c r="D2351" s="270"/>
      <c r="E2351" s="208"/>
      <c r="F2351" s="208"/>
      <c r="G2351" s="208"/>
      <c r="H2351" s="209"/>
      <c r="I2351" s="210"/>
      <c r="J2351" s="210"/>
      <c r="K2351" s="260"/>
      <c r="L2351" s="260"/>
      <c r="M2351" s="260"/>
      <c r="N2351" s="260"/>
      <c r="O2351" s="260"/>
      <c r="P2351" s="211"/>
      <c r="Q2351" s="261"/>
      <c r="R2351" s="208" t="str">
        <f ca="1">IF(ISERROR($V2351),"",OFFSET('Smelter Look-up'!$C$4,$V2351-4,0)&amp;"")</f>
        <v/>
      </c>
      <c r="S2351" s="215" t="str">
        <f t="shared" ca="1" si="330"/>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si="331"/>
        <v>0</v>
      </c>
      <c r="Y2351" s="263"/>
      <c r="Z2351" s="263"/>
      <c r="AB2351" s="265" t="str">
        <f t="shared" si="332"/>
        <v/>
      </c>
    </row>
    <row r="2352" spans="1:28" s="264" customFormat="1" ht="20.399999999999999">
      <c r="A2352" s="207"/>
      <c r="B2352" s="208"/>
      <c r="C2352" s="212"/>
      <c r="D2352" s="270"/>
      <c r="E2352" s="208"/>
      <c r="F2352" s="208"/>
      <c r="G2352" s="208"/>
      <c r="H2352" s="209"/>
      <c r="I2352" s="210"/>
      <c r="J2352" s="210"/>
      <c r="K2352" s="260"/>
      <c r="L2352" s="260"/>
      <c r="M2352" s="260"/>
      <c r="N2352" s="260"/>
      <c r="O2352" s="260"/>
      <c r="P2352" s="211"/>
      <c r="Q2352" s="261"/>
      <c r="R2352" s="208" t="str">
        <f ca="1">IF(ISERROR($V2352),"",OFFSET('Smelter Look-up'!$C$4,$V2352-4,0)&amp;"")</f>
        <v/>
      </c>
      <c r="S2352" s="215" t="str">
        <f t="shared" ca="1" si="330"/>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si="331"/>
        <v>0</v>
      </c>
      <c r="Y2352" s="263"/>
      <c r="Z2352" s="263"/>
      <c r="AB2352" s="265" t="str">
        <f t="shared" si="332"/>
        <v/>
      </c>
    </row>
    <row r="2353" spans="1:28" s="264" customFormat="1" ht="20.399999999999999">
      <c r="A2353" s="207"/>
      <c r="B2353" s="208"/>
      <c r="C2353" s="212"/>
      <c r="D2353" s="270"/>
      <c r="E2353" s="208"/>
      <c r="F2353" s="208"/>
      <c r="G2353" s="208"/>
      <c r="H2353" s="209"/>
      <c r="I2353" s="210"/>
      <c r="J2353" s="210"/>
      <c r="K2353" s="260"/>
      <c r="L2353" s="260"/>
      <c r="M2353" s="260"/>
      <c r="N2353" s="260"/>
      <c r="O2353" s="260"/>
      <c r="P2353" s="211"/>
      <c r="Q2353" s="261"/>
      <c r="R2353" s="208" t="str">
        <f ca="1">IF(ISERROR($V2353),"",OFFSET('Smelter Look-up'!$C$4,$V2353-4,0)&amp;"")</f>
        <v/>
      </c>
      <c r="S2353" s="215" t="str">
        <f t="shared" ca="1" si="330"/>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si="331"/>
        <v>0</v>
      </c>
      <c r="Y2353" s="263"/>
      <c r="Z2353" s="263"/>
      <c r="AB2353" s="265" t="str">
        <f t="shared" si="332"/>
        <v/>
      </c>
    </row>
    <row r="2354" spans="1:28" s="264" customFormat="1" ht="20.399999999999999">
      <c r="A2354" s="207"/>
      <c r="B2354" s="208"/>
      <c r="C2354" s="212"/>
      <c r="D2354" s="270"/>
      <c r="E2354" s="208"/>
      <c r="F2354" s="208"/>
      <c r="G2354" s="208"/>
      <c r="H2354" s="209"/>
      <c r="I2354" s="210"/>
      <c r="J2354" s="210"/>
      <c r="K2354" s="260"/>
      <c r="L2354" s="260"/>
      <c r="M2354" s="260"/>
      <c r="N2354" s="260"/>
      <c r="O2354" s="260"/>
      <c r="P2354" s="211"/>
      <c r="Q2354" s="261"/>
      <c r="R2354" s="208" t="str">
        <f ca="1">IF(ISERROR($V2354),"",OFFSET('Smelter Look-up'!$C$4,$V2354-4,0)&amp;"")</f>
        <v/>
      </c>
      <c r="S2354" s="215" t="str">
        <f t="shared" ca="1" si="330"/>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si="331"/>
        <v>0</v>
      </c>
      <c r="Y2354" s="263"/>
      <c r="Z2354" s="263"/>
      <c r="AB2354" s="265" t="str">
        <f t="shared" si="332"/>
        <v/>
      </c>
    </row>
    <row r="2355" spans="1:28" s="264" customFormat="1" ht="20.399999999999999">
      <c r="A2355" s="207"/>
      <c r="B2355" s="208"/>
      <c r="C2355" s="212"/>
      <c r="D2355" s="270"/>
      <c r="E2355" s="208"/>
      <c r="F2355" s="208"/>
      <c r="G2355" s="208"/>
      <c r="H2355" s="209"/>
      <c r="I2355" s="210"/>
      <c r="J2355" s="210"/>
      <c r="K2355" s="260"/>
      <c r="L2355" s="260"/>
      <c r="M2355" s="260"/>
      <c r="N2355" s="260"/>
      <c r="O2355" s="260"/>
      <c r="P2355" s="211"/>
      <c r="Q2355" s="261"/>
      <c r="R2355" s="208" t="str">
        <f ca="1">IF(ISERROR($V2355),"",OFFSET('Smelter Look-up'!$C$4,$V2355-4,0)&amp;"")</f>
        <v/>
      </c>
      <c r="S2355" s="215" t="str">
        <f t="shared" ca="1" si="330"/>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si="331"/>
        <v>0</v>
      </c>
      <c r="Y2355" s="263"/>
      <c r="Z2355" s="263"/>
      <c r="AB2355" s="265" t="str">
        <f t="shared" si="332"/>
        <v/>
      </c>
    </row>
    <row r="2356" spans="1:28" s="264" customFormat="1" ht="20.399999999999999">
      <c r="A2356" s="207"/>
      <c r="B2356" s="208"/>
      <c r="C2356" s="212"/>
      <c r="D2356" s="270"/>
      <c r="E2356" s="208"/>
      <c r="F2356" s="208"/>
      <c r="G2356" s="208"/>
      <c r="H2356" s="209"/>
      <c r="I2356" s="210"/>
      <c r="J2356" s="210"/>
      <c r="K2356" s="260"/>
      <c r="L2356" s="260"/>
      <c r="M2356" s="260"/>
      <c r="N2356" s="260"/>
      <c r="O2356" s="260"/>
      <c r="P2356" s="211"/>
      <c r="Q2356" s="261"/>
      <c r="R2356" s="208" t="str">
        <f ca="1">IF(ISERROR($V2356),"",OFFSET('Smelter Look-up'!$C$4,$V2356-4,0)&amp;"")</f>
        <v/>
      </c>
      <c r="S2356" s="215" t="str">
        <f t="shared" ca="1" si="330"/>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si="331"/>
        <v>0</v>
      </c>
      <c r="Y2356" s="263"/>
      <c r="Z2356" s="263"/>
      <c r="AB2356" s="265" t="str">
        <f t="shared" si="332"/>
        <v/>
      </c>
    </row>
    <row r="2357" spans="1:28" s="264" customFormat="1" ht="20.399999999999999">
      <c r="A2357" s="207"/>
      <c r="B2357" s="208"/>
      <c r="C2357" s="212"/>
      <c r="D2357" s="270"/>
      <c r="E2357" s="208"/>
      <c r="F2357" s="208"/>
      <c r="G2357" s="208"/>
      <c r="H2357" s="209"/>
      <c r="I2357" s="210"/>
      <c r="J2357" s="210"/>
      <c r="K2357" s="260"/>
      <c r="L2357" s="260"/>
      <c r="M2357" s="260"/>
      <c r="N2357" s="260"/>
      <c r="O2357" s="260"/>
      <c r="P2357" s="211"/>
      <c r="Q2357" s="261"/>
      <c r="R2357" s="208" t="str">
        <f ca="1">IF(ISERROR($V2357),"",OFFSET('Smelter Look-up'!$C$4,$V2357-4,0)&amp;"")</f>
        <v/>
      </c>
      <c r="S2357" s="215" t="str">
        <f t="shared" ca="1" si="330"/>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si="331"/>
        <v>0</v>
      </c>
      <c r="Y2357" s="263"/>
      <c r="Z2357" s="263"/>
      <c r="AB2357" s="265" t="str">
        <f t="shared" si="332"/>
        <v/>
      </c>
    </row>
    <row r="2358" spans="1:28" s="264" customFormat="1" ht="20.399999999999999">
      <c r="A2358" s="207"/>
      <c r="B2358" s="208"/>
      <c r="C2358" s="212"/>
      <c r="D2358" s="270"/>
      <c r="E2358" s="208"/>
      <c r="F2358" s="208"/>
      <c r="G2358" s="208"/>
      <c r="H2358" s="209"/>
      <c r="I2358" s="210"/>
      <c r="J2358" s="210"/>
      <c r="K2358" s="260"/>
      <c r="L2358" s="260"/>
      <c r="M2358" s="260"/>
      <c r="N2358" s="260"/>
      <c r="O2358" s="260"/>
      <c r="P2358" s="211"/>
      <c r="Q2358" s="261"/>
      <c r="R2358" s="208" t="str">
        <f ca="1">IF(ISERROR($V2358),"",OFFSET('Smelter Look-up'!$C$4,$V2358-4,0)&amp;"")</f>
        <v/>
      </c>
      <c r="S2358" s="215" t="str">
        <f t="shared" ca="1" si="330"/>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si="331"/>
        <v>0</v>
      </c>
      <c r="Y2358" s="263"/>
      <c r="Z2358" s="263"/>
      <c r="AB2358" s="265" t="str">
        <f t="shared" si="332"/>
        <v/>
      </c>
    </row>
    <row r="2359" spans="1:28" s="264" customFormat="1" ht="20.399999999999999">
      <c r="A2359" s="207"/>
      <c r="B2359" s="208"/>
      <c r="C2359" s="212"/>
      <c r="D2359" s="270"/>
      <c r="E2359" s="208"/>
      <c r="F2359" s="208"/>
      <c r="G2359" s="208"/>
      <c r="H2359" s="209"/>
      <c r="I2359" s="210"/>
      <c r="J2359" s="210"/>
      <c r="K2359" s="260"/>
      <c r="L2359" s="260"/>
      <c r="M2359" s="260"/>
      <c r="N2359" s="260"/>
      <c r="O2359" s="260"/>
      <c r="P2359" s="211"/>
      <c r="Q2359" s="261"/>
      <c r="R2359" s="208" t="str">
        <f ca="1">IF(ISERROR($V2359),"",OFFSET('Smelter Look-up'!$C$4,$V2359-4,0)&amp;"")</f>
        <v/>
      </c>
      <c r="S2359" s="215" t="str">
        <f t="shared" ca="1" si="330"/>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si="331"/>
        <v>0</v>
      </c>
      <c r="Y2359" s="263"/>
      <c r="Z2359" s="263"/>
      <c r="AB2359" s="265" t="str">
        <f t="shared" si="332"/>
        <v/>
      </c>
    </row>
    <row r="2360" spans="1:28" s="264" customFormat="1" ht="20.399999999999999">
      <c r="A2360" s="207"/>
      <c r="B2360" s="208"/>
      <c r="C2360" s="212"/>
      <c r="D2360" s="270"/>
      <c r="E2360" s="208"/>
      <c r="F2360" s="208"/>
      <c r="G2360" s="208"/>
      <c r="H2360" s="209"/>
      <c r="I2360" s="210"/>
      <c r="J2360" s="210"/>
      <c r="K2360" s="260"/>
      <c r="L2360" s="260"/>
      <c r="M2360" s="260"/>
      <c r="N2360" s="260"/>
      <c r="O2360" s="260"/>
      <c r="P2360" s="211"/>
      <c r="Q2360" s="261"/>
      <c r="R2360" s="208" t="str">
        <f ca="1">IF(ISERROR($V2360),"",OFFSET('Smelter Look-up'!$C$4,$V2360-4,0)&amp;"")</f>
        <v/>
      </c>
      <c r="S2360" s="215" t="str">
        <f t="shared" ca="1" si="330"/>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si="331"/>
        <v>0</v>
      </c>
      <c r="Y2360" s="263"/>
      <c r="Z2360" s="263"/>
      <c r="AB2360" s="265" t="str">
        <f t="shared" si="332"/>
        <v/>
      </c>
    </row>
    <row r="2361" spans="1:28" s="264" customFormat="1" ht="20.399999999999999">
      <c r="A2361" s="207"/>
      <c r="B2361" s="208"/>
      <c r="C2361" s="212"/>
      <c r="D2361" s="270"/>
      <c r="E2361" s="208"/>
      <c r="F2361" s="208"/>
      <c r="G2361" s="208"/>
      <c r="H2361" s="209"/>
      <c r="I2361" s="210"/>
      <c r="J2361" s="210"/>
      <c r="K2361" s="260"/>
      <c r="L2361" s="260"/>
      <c r="M2361" s="260"/>
      <c r="N2361" s="260"/>
      <c r="O2361" s="260"/>
      <c r="P2361" s="211"/>
      <c r="Q2361" s="261"/>
      <c r="R2361" s="208" t="str">
        <f ca="1">IF(ISERROR($V2361),"",OFFSET('Smelter Look-up'!$C$4,$V2361-4,0)&amp;"")</f>
        <v/>
      </c>
      <c r="S2361" s="215" t="str">
        <f t="shared" ca="1" si="330"/>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si="331"/>
        <v>0</v>
      </c>
      <c r="Y2361" s="263"/>
      <c r="Z2361" s="263"/>
      <c r="AB2361" s="265" t="str">
        <f t="shared" si="332"/>
        <v/>
      </c>
    </row>
    <row r="2362" spans="1:28" s="264" customFormat="1" ht="20.399999999999999">
      <c r="A2362" s="207"/>
      <c r="B2362" s="208"/>
      <c r="C2362" s="212"/>
      <c r="D2362" s="270"/>
      <c r="E2362" s="208"/>
      <c r="F2362" s="208"/>
      <c r="G2362" s="208"/>
      <c r="H2362" s="209"/>
      <c r="I2362" s="210"/>
      <c r="J2362" s="210"/>
      <c r="K2362" s="260"/>
      <c r="L2362" s="260"/>
      <c r="M2362" s="260"/>
      <c r="N2362" s="260"/>
      <c r="O2362" s="260"/>
      <c r="P2362" s="211"/>
      <c r="Q2362" s="261"/>
      <c r="R2362" s="208" t="str">
        <f ca="1">IF(ISERROR($V2362),"",OFFSET('Smelter Look-up'!$C$4,$V2362-4,0)&amp;"")</f>
        <v/>
      </c>
      <c r="S2362" s="215" t="str">
        <f t="shared" ca="1" si="330"/>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si="331"/>
        <v>0</v>
      </c>
      <c r="Y2362" s="263"/>
      <c r="Z2362" s="263"/>
      <c r="AB2362" s="265" t="str">
        <f t="shared" si="332"/>
        <v/>
      </c>
    </row>
    <row r="2363" spans="1:28" s="264" customFormat="1" ht="20.399999999999999">
      <c r="A2363" s="207"/>
      <c r="B2363" s="208"/>
      <c r="C2363" s="212"/>
      <c r="D2363" s="270"/>
      <c r="E2363" s="208"/>
      <c r="F2363" s="208"/>
      <c r="G2363" s="208"/>
      <c r="H2363" s="209"/>
      <c r="I2363" s="210"/>
      <c r="J2363" s="210"/>
      <c r="K2363" s="260"/>
      <c r="L2363" s="260"/>
      <c r="M2363" s="260"/>
      <c r="N2363" s="260"/>
      <c r="O2363" s="260"/>
      <c r="P2363" s="211"/>
      <c r="Q2363" s="261"/>
      <c r="R2363" s="208" t="str">
        <f ca="1">IF(ISERROR($V2363),"",OFFSET('Smelter Look-up'!$C$4,$V2363-4,0)&amp;"")</f>
        <v/>
      </c>
      <c r="S2363" s="215" t="str">
        <f t="shared" ref="S2363" ca="1" si="333">IF(B2363="","",IF(ISERROR(MATCH($E2363,CL,0)),"Unknown",INDIRECT("'C'!$A$"&amp;MATCH($E2363,CL,0)+1)))</f>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t="shared" ref="X2363" si="334">IF(AND(C2363="Smelter not listed",OR(LEN(D2363)=0,LEN(E2363)=0)),1,0)</f>
        <v>0</v>
      </c>
      <c r="Y2363" s="263"/>
      <c r="Z2363" s="263"/>
      <c r="AB2363" s="265" t="str">
        <f t="shared" ref="AB2363" si="335">B2363&amp;C2363</f>
        <v/>
      </c>
    </row>
    <row r="2364" spans="1:28" s="264" customFormat="1" ht="20.399999999999999">
      <c r="A2364" s="207"/>
      <c r="B2364" s="208"/>
      <c r="C2364" s="212"/>
      <c r="D2364" s="270"/>
      <c r="E2364" s="208"/>
      <c r="F2364" s="208"/>
      <c r="G2364" s="208"/>
      <c r="H2364" s="209"/>
      <c r="I2364" s="210"/>
      <c r="J2364" s="210"/>
      <c r="K2364" s="260"/>
      <c r="L2364" s="260"/>
      <c r="M2364" s="260"/>
      <c r="N2364" s="260"/>
      <c r="O2364" s="260"/>
      <c r="P2364" s="211"/>
      <c r="Q2364" s="261"/>
      <c r="R2364" s="208" t="str">
        <f ca="1">IF(ISERROR($V2364),"",OFFSET('Smelter Look-up'!$C$4,$V2364-4,0)&amp;"")</f>
        <v/>
      </c>
      <c r="S2364" s="215" t="str">
        <f t="shared" ref="S2364:S2395" ca="1" si="336">IF(B2364="","",IF(ISERROR(MATCH($E2364,CL,0)),"Unknown",INDIRECT("'C'!$A$"&amp;MATCH($E2364,CL,0)+1)))</f>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ref="X2364:X2395" si="337">IF(AND(C2364="Smelter not listed",OR(LEN(D2364)=0,LEN(E2364)=0)),1,0)</f>
        <v>0</v>
      </c>
      <c r="Y2364" s="263"/>
      <c r="Z2364" s="263"/>
      <c r="AB2364" s="265" t="str">
        <f t="shared" ref="AB2364:AB2395" si="338">B2364&amp;C2364</f>
        <v/>
      </c>
    </row>
    <row r="2365" spans="1:28" s="264" customFormat="1" ht="20.399999999999999">
      <c r="A2365" s="207"/>
      <c r="B2365" s="208"/>
      <c r="C2365" s="212"/>
      <c r="D2365" s="270"/>
      <c r="E2365" s="208"/>
      <c r="F2365" s="208"/>
      <c r="G2365" s="208"/>
      <c r="H2365" s="209"/>
      <c r="I2365" s="210"/>
      <c r="J2365" s="210"/>
      <c r="K2365" s="260"/>
      <c r="L2365" s="260"/>
      <c r="M2365" s="260"/>
      <c r="N2365" s="260"/>
      <c r="O2365" s="260"/>
      <c r="P2365" s="211"/>
      <c r="Q2365" s="261"/>
      <c r="R2365" s="208" t="str">
        <f ca="1">IF(ISERROR($V2365),"",OFFSET('Smelter Look-up'!$C$4,$V2365-4,0)&amp;"")</f>
        <v/>
      </c>
      <c r="S2365" s="215" t="str">
        <f t="shared" ca="1" si="336"/>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si="337"/>
        <v>0</v>
      </c>
      <c r="Y2365" s="263"/>
      <c r="Z2365" s="263"/>
      <c r="AB2365" s="265" t="str">
        <f t="shared" si="338"/>
        <v/>
      </c>
    </row>
    <row r="2366" spans="1:28" s="264" customFormat="1" ht="20.399999999999999">
      <c r="A2366" s="207"/>
      <c r="B2366" s="208"/>
      <c r="C2366" s="212"/>
      <c r="D2366" s="270"/>
      <c r="E2366" s="208"/>
      <c r="F2366" s="208"/>
      <c r="G2366" s="208"/>
      <c r="H2366" s="209"/>
      <c r="I2366" s="210"/>
      <c r="J2366" s="210"/>
      <c r="K2366" s="260"/>
      <c r="L2366" s="260"/>
      <c r="M2366" s="260"/>
      <c r="N2366" s="260"/>
      <c r="O2366" s="260"/>
      <c r="P2366" s="211"/>
      <c r="Q2366" s="261"/>
      <c r="R2366" s="208" t="str">
        <f ca="1">IF(ISERROR($V2366),"",OFFSET('Smelter Look-up'!$C$4,$V2366-4,0)&amp;"")</f>
        <v/>
      </c>
      <c r="S2366" s="215" t="str">
        <f t="shared" ca="1" si="336"/>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si="337"/>
        <v>0</v>
      </c>
      <c r="Y2366" s="263"/>
      <c r="Z2366" s="263"/>
      <c r="AB2366" s="265" t="str">
        <f t="shared" si="338"/>
        <v/>
      </c>
    </row>
    <row r="2367" spans="1:28" s="264" customFormat="1" ht="20.399999999999999">
      <c r="A2367" s="207"/>
      <c r="B2367" s="208"/>
      <c r="C2367" s="212"/>
      <c r="D2367" s="270"/>
      <c r="E2367" s="208"/>
      <c r="F2367" s="208"/>
      <c r="G2367" s="208"/>
      <c r="H2367" s="209"/>
      <c r="I2367" s="210"/>
      <c r="J2367" s="210"/>
      <c r="K2367" s="260"/>
      <c r="L2367" s="260"/>
      <c r="M2367" s="260"/>
      <c r="N2367" s="260"/>
      <c r="O2367" s="260"/>
      <c r="P2367" s="211"/>
      <c r="Q2367" s="261"/>
      <c r="R2367" s="208" t="str">
        <f ca="1">IF(ISERROR($V2367),"",OFFSET('Smelter Look-up'!$C$4,$V2367-4,0)&amp;"")</f>
        <v/>
      </c>
      <c r="S2367" s="215" t="str">
        <f t="shared" ca="1" si="336"/>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si="337"/>
        <v>0</v>
      </c>
      <c r="Y2367" s="263"/>
      <c r="Z2367" s="263"/>
      <c r="AB2367" s="265" t="str">
        <f t="shared" si="338"/>
        <v/>
      </c>
    </row>
    <row r="2368" spans="1:28" s="264" customFormat="1" ht="20.399999999999999">
      <c r="A2368" s="207"/>
      <c r="B2368" s="208"/>
      <c r="C2368" s="212"/>
      <c r="D2368" s="270"/>
      <c r="E2368" s="208"/>
      <c r="F2368" s="208"/>
      <c r="G2368" s="208"/>
      <c r="H2368" s="209"/>
      <c r="I2368" s="210"/>
      <c r="J2368" s="210"/>
      <c r="K2368" s="260"/>
      <c r="L2368" s="260"/>
      <c r="M2368" s="260"/>
      <c r="N2368" s="260"/>
      <c r="O2368" s="260"/>
      <c r="P2368" s="211"/>
      <c r="Q2368" s="261"/>
      <c r="R2368" s="208" t="str">
        <f ca="1">IF(ISERROR($V2368),"",OFFSET('Smelter Look-up'!$C$4,$V2368-4,0)&amp;"")</f>
        <v/>
      </c>
      <c r="S2368" s="215" t="str">
        <f t="shared" ca="1" si="336"/>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si="337"/>
        <v>0</v>
      </c>
      <c r="Y2368" s="263"/>
      <c r="Z2368" s="263"/>
      <c r="AB2368" s="265" t="str">
        <f t="shared" si="338"/>
        <v/>
      </c>
    </row>
    <row r="2369" spans="1:28" s="264" customFormat="1" ht="20.399999999999999">
      <c r="A2369" s="207"/>
      <c r="B2369" s="208"/>
      <c r="C2369" s="212"/>
      <c r="D2369" s="270"/>
      <c r="E2369" s="208"/>
      <c r="F2369" s="208"/>
      <c r="G2369" s="208"/>
      <c r="H2369" s="209"/>
      <c r="I2369" s="210"/>
      <c r="J2369" s="210"/>
      <c r="K2369" s="260"/>
      <c r="L2369" s="260"/>
      <c r="M2369" s="260"/>
      <c r="N2369" s="260"/>
      <c r="O2369" s="260"/>
      <c r="P2369" s="211"/>
      <c r="Q2369" s="261"/>
      <c r="R2369" s="208" t="str">
        <f ca="1">IF(ISERROR($V2369),"",OFFSET('Smelter Look-up'!$C$4,$V2369-4,0)&amp;"")</f>
        <v/>
      </c>
      <c r="S2369" s="215" t="str">
        <f t="shared" ca="1" si="336"/>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si="337"/>
        <v>0</v>
      </c>
      <c r="Y2369" s="263"/>
      <c r="Z2369" s="263"/>
      <c r="AB2369" s="265" t="str">
        <f t="shared" si="338"/>
        <v/>
      </c>
    </row>
    <row r="2370" spans="1:28" s="264" customFormat="1" ht="20.399999999999999">
      <c r="A2370" s="207"/>
      <c r="B2370" s="208"/>
      <c r="C2370" s="212"/>
      <c r="D2370" s="270"/>
      <c r="E2370" s="208"/>
      <c r="F2370" s="208"/>
      <c r="G2370" s="208"/>
      <c r="H2370" s="209"/>
      <c r="I2370" s="210"/>
      <c r="J2370" s="210"/>
      <c r="K2370" s="260"/>
      <c r="L2370" s="260"/>
      <c r="M2370" s="260"/>
      <c r="N2370" s="260"/>
      <c r="O2370" s="260"/>
      <c r="P2370" s="211"/>
      <c r="Q2370" s="261"/>
      <c r="R2370" s="208" t="str">
        <f ca="1">IF(ISERROR($V2370),"",OFFSET('Smelter Look-up'!$C$4,$V2370-4,0)&amp;"")</f>
        <v/>
      </c>
      <c r="S2370" s="215" t="str">
        <f t="shared" ca="1" si="336"/>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si="337"/>
        <v>0</v>
      </c>
      <c r="Y2370" s="263"/>
      <c r="Z2370" s="263"/>
      <c r="AB2370" s="265" t="str">
        <f t="shared" si="338"/>
        <v/>
      </c>
    </row>
    <row r="2371" spans="1:28" s="264" customFormat="1" ht="20.399999999999999">
      <c r="A2371" s="207"/>
      <c r="B2371" s="208"/>
      <c r="C2371" s="212"/>
      <c r="D2371" s="270"/>
      <c r="E2371" s="208"/>
      <c r="F2371" s="208"/>
      <c r="G2371" s="208"/>
      <c r="H2371" s="209"/>
      <c r="I2371" s="210"/>
      <c r="J2371" s="210"/>
      <c r="K2371" s="260"/>
      <c r="L2371" s="260"/>
      <c r="M2371" s="260"/>
      <c r="N2371" s="260"/>
      <c r="O2371" s="260"/>
      <c r="P2371" s="211"/>
      <c r="Q2371" s="261"/>
      <c r="R2371" s="208" t="str">
        <f ca="1">IF(ISERROR($V2371),"",OFFSET('Smelter Look-up'!$C$4,$V2371-4,0)&amp;"")</f>
        <v/>
      </c>
      <c r="S2371" s="215" t="str">
        <f t="shared" ca="1" si="336"/>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si="337"/>
        <v>0</v>
      </c>
      <c r="Y2371" s="263"/>
      <c r="Z2371" s="263"/>
      <c r="AB2371" s="265" t="str">
        <f t="shared" si="338"/>
        <v/>
      </c>
    </row>
    <row r="2372" spans="1:28" s="264" customFormat="1" ht="20.399999999999999">
      <c r="A2372" s="207"/>
      <c r="B2372" s="208"/>
      <c r="C2372" s="212"/>
      <c r="D2372" s="270"/>
      <c r="E2372" s="208"/>
      <c r="F2372" s="208"/>
      <c r="G2372" s="208"/>
      <c r="H2372" s="209"/>
      <c r="I2372" s="210"/>
      <c r="J2372" s="210"/>
      <c r="K2372" s="260"/>
      <c r="L2372" s="260"/>
      <c r="M2372" s="260"/>
      <c r="N2372" s="260"/>
      <c r="O2372" s="260"/>
      <c r="P2372" s="211"/>
      <c r="Q2372" s="261"/>
      <c r="R2372" s="208" t="str">
        <f ca="1">IF(ISERROR($V2372),"",OFFSET('Smelter Look-up'!$C$4,$V2372-4,0)&amp;"")</f>
        <v/>
      </c>
      <c r="S2372" s="215" t="str">
        <f t="shared" ca="1" si="336"/>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si="337"/>
        <v>0</v>
      </c>
      <c r="Y2372" s="263"/>
      <c r="Z2372" s="263"/>
      <c r="AB2372" s="265" t="str">
        <f t="shared" si="338"/>
        <v/>
      </c>
    </row>
    <row r="2373" spans="1:28" s="264" customFormat="1" ht="20.399999999999999">
      <c r="A2373" s="207"/>
      <c r="B2373" s="208"/>
      <c r="C2373" s="212"/>
      <c r="D2373" s="270"/>
      <c r="E2373" s="208"/>
      <c r="F2373" s="208"/>
      <c r="G2373" s="208"/>
      <c r="H2373" s="209"/>
      <c r="I2373" s="210"/>
      <c r="J2373" s="210"/>
      <c r="K2373" s="260"/>
      <c r="L2373" s="260"/>
      <c r="M2373" s="260"/>
      <c r="N2373" s="260"/>
      <c r="O2373" s="260"/>
      <c r="P2373" s="211"/>
      <c r="Q2373" s="261"/>
      <c r="R2373" s="208" t="str">
        <f ca="1">IF(ISERROR($V2373),"",OFFSET('Smelter Look-up'!$C$4,$V2373-4,0)&amp;"")</f>
        <v/>
      </c>
      <c r="S2373" s="215" t="str">
        <f t="shared" ca="1" si="336"/>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si="337"/>
        <v>0</v>
      </c>
      <c r="Y2373" s="263"/>
      <c r="Z2373" s="263"/>
      <c r="AB2373" s="265" t="str">
        <f t="shared" si="338"/>
        <v/>
      </c>
    </row>
    <row r="2374" spans="1:28" s="264" customFormat="1" ht="20.399999999999999">
      <c r="A2374" s="207"/>
      <c r="B2374" s="208"/>
      <c r="C2374" s="212"/>
      <c r="D2374" s="270"/>
      <c r="E2374" s="208"/>
      <c r="F2374" s="208"/>
      <c r="G2374" s="208"/>
      <c r="H2374" s="209"/>
      <c r="I2374" s="210"/>
      <c r="J2374" s="210"/>
      <c r="K2374" s="260"/>
      <c r="L2374" s="260"/>
      <c r="M2374" s="260"/>
      <c r="N2374" s="260"/>
      <c r="O2374" s="260"/>
      <c r="P2374" s="211"/>
      <c r="Q2374" s="261"/>
      <c r="R2374" s="208" t="str">
        <f ca="1">IF(ISERROR($V2374),"",OFFSET('Smelter Look-up'!$C$4,$V2374-4,0)&amp;"")</f>
        <v/>
      </c>
      <c r="S2374" s="215" t="str">
        <f t="shared" ca="1" si="336"/>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si="337"/>
        <v>0</v>
      </c>
      <c r="Y2374" s="263"/>
      <c r="Z2374" s="263"/>
      <c r="AB2374" s="265" t="str">
        <f t="shared" si="338"/>
        <v/>
      </c>
    </row>
    <row r="2375" spans="1:28" s="264" customFormat="1" ht="20.399999999999999">
      <c r="A2375" s="207"/>
      <c r="B2375" s="208"/>
      <c r="C2375" s="212"/>
      <c r="D2375" s="270"/>
      <c r="E2375" s="208"/>
      <c r="F2375" s="208"/>
      <c r="G2375" s="208"/>
      <c r="H2375" s="209"/>
      <c r="I2375" s="210"/>
      <c r="J2375" s="210"/>
      <c r="K2375" s="260"/>
      <c r="L2375" s="260"/>
      <c r="M2375" s="260"/>
      <c r="N2375" s="260"/>
      <c r="O2375" s="260"/>
      <c r="P2375" s="211"/>
      <c r="Q2375" s="261"/>
      <c r="R2375" s="208" t="str">
        <f ca="1">IF(ISERROR($V2375),"",OFFSET('Smelter Look-up'!$C$4,$V2375-4,0)&amp;"")</f>
        <v/>
      </c>
      <c r="S2375" s="215" t="str">
        <f t="shared" ca="1" si="336"/>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si="337"/>
        <v>0</v>
      </c>
      <c r="Y2375" s="263"/>
      <c r="Z2375" s="263"/>
      <c r="AB2375" s="265" t="str">
        <f t="shared" si="338"/>
        <v/>
      </c>
    </row>
    <row r="2376" spans="1:28" s="264" customFormat="1" ht="20.399999999999999">
      <c r="A2376" s="207"/>
      <c r="B2376" s="208"/>
      <c r="C2376" s="212"/>
      <c r="D2376" s="270"/>
      <c r="E2376" s="208"/>
      <c r="F2376" s="208"/>
      <c r="G2376" s="208"/>
      <c r="H2376" s="209"/>
      <c r="I2376" s="210"/>
      <c r="J2376" s="210"/>
      <c r="K2376" s="260"/>
      <c r="L2376" s="260"/>
      <c r="M2376" s="260"/>
      <c r="N2376" s="260"/>
      <c r="O2376" s="260"/>
      <c r="P2376" s="211"/>
      <c r="Q2376" s="261"/>
      <c r="R2376" s="208" t="str">
        <f ca="1">IF(ISERROR($V2376),"",OFFSET('Smelter Look-up'!$C$4,$V2376-4,0)&amp;"")</f>
        <v/>
      </c>
      <c r="S2376" s="215" t="str">
        <f t="shared" ca="1" si="336"/>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si="337"/>
        <v>0</v>
      </c>
      <c r="Y2376" s="263"/>
      <c r="Z2376" s="263"/>
      <c r="AB2376" s="265" t="str">
        <f t="shared" si="338"/>
        <v/>
      </c>
    </row>
    <row r="2377" spans="1:28" s="264" customFormat="1" ht="20.399999999999999">
      <c r="A2377" s="207"/>
      <c r="B2377" s="208"/>
      <c r="C2377" s="212"/>
      <c r="D2377" s="270"/>
      <c r="E2377" s="208"/>
      <c r="F2377" s="208"/>
      <c r="G2377" s="208"/>
      <c r="H2377" s="209"/>
      <c r="I2377" s="210"/>
      <c r="J2377" s="210"/>
      <c r="K2377" s="260"/>
      <c r="L2377" s="260"/>
      <c r="M2377" s="260"/>
      <c r="N2377" s="260"/>
      <c r="O2377" s="260"/>
      <c r="P2377" s="211"/>
      <c r="Q2377" s="261"/>
      <c r="R2377" s="208" t="str">
        <f ca="1">IF(ISERROR($V2377),"",OFFSET('Smelter Look-up'!$C$4,$V2377-4,0)&amp;"")</f>
        <v/>
      </c>
      <c r="S2377" s="215" t="str">
        <f t="shared" ca="1" si="336"/>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si="337"/>
        <v>0</v>
      </c>
      <c r="Y2377" s="263"/>
      <c r="Z2377" s="263"/>
      <c r="AB2377" s="265" t="str">
        <f t="shared" si="338"/>
        <v/>
      </c>
    </row>
    <row r="2378" spans="1:28" s="264" customFormat="1" ht="20.399999999999999">
      <c r="A2378" s="207"/>
      <c r="B2378" s="208"/>
      <c r="C2378" s="212"/>
      <c r="D2378" s="270"/>
      <c r="E2378" s="208"/>
      <c r="F2378" s="208"/>
      <c r="G2378" s="208"/>
      <c r="H2378" s="209"/>
      <c r="I2378" s="210"/>
      <c r="J2378" s="210"/>
      <c r="K2378" s="260"/>
      <c r="L2378" s="260"/>
      <c r="M2378" s="260"/>
      <c r="N2378" s="260"/>
      <c r="O2378" s="260"/>
      <c r="P2378" s="211"/>
      <c r="Q2378" s="261"/>
      <c r="R2378" s="208" t="str">
        <f ca="1">IF(ISERROR($V2378),"",OFFSET('Smelter Look-up'!$C$4,$V2378-4,0)&amp;"")</f>
        <v/>
      </c>
      <c r="S2378" s="215" t="str">
        <f t="shared" ca="1" si="336"/>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si="337"/>
        <v>0</v>
      </c>
      <c r="Y2378" s="263"/>
      <c r="Z2378" s="263"/>
      <c r="AB2378" s="265" t="str">
        <f t="shared" si="338"/>
        <v/>
      </c>
    </row>
    <row r="2379" spans="1:28" s="264" customFormat="1" ht="20.399999999999999">
      <c r="A2379" s="207"/>
      <c r="B2379" s="208"/>
      <c r="C2379" s="212"/>
      <c r="D2379" s="270"/>
      <c r="E2379" s="208"/>
      <c r="F2379" s="208"/>
      <c r="G2379" s="208"/>
      <c r="H2379" s="209"/>
      <c r="I2379" s="210"/>
      <c r="J2379" s="210"/>
      <c r="K2379" s="260"/>
      <c r="L2379" s="260"/>
      <c r="M2379" s="260"/>
      <c r="N2379" s="260"/>
      <c r="O2379" s="260"/>
      <c r="P2379" s="211"/>
      <c r="Q2379" s="261"/>
      <c r="R2379" s="208" t="str">
        <f ca="1">IF(ISERROR($V2379),"",OFFSET('Smelter Look-up'!$C$4,$V2379-4,0)&amp;"")</f>
        <v/>
      </c>
      <c r="S2379" s="215" t="str">
        <f t="shared" ca="1" si="336"/>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si="337"/>
        <v>0</v>
      </c>
      <c r="Y2379" s="263"/>
      <c r="Z2379" s="263"/>
      <c r="AB2379" s="265" t="str">
        <f t="shared" si="338"/>
        <v/>
      </c>
    </row>
    <row r="2380" spans="1:28" s="264" customFormat="1" ht="20.399999999999999">
      <c r="A2380" s="207"/>
      <c r="B2380" s="208"/>
      <c r="C2380" s="212"/>
      <c r="D2380" s="270"/>
      <c r="E2380" s="208"/>
      <c r="F2380" s="208"/>
      <c r="G2380" s="208"/>
      <c r="H2380" s="209"/>
      <c r="I2380" s="210"/>
      <c r="J2380" s="210"/>
      <c r="K2380" s="260"/>
      <c r="L2380" s="260"/>
      <c r="M2380" s="260"/>
      <c r="N2380" s="260"/>
      <c r="O2380" s="260"/>
      <c r="P2380" s="211"/>
      <c r="Q2380" s="261"/>
      <c r="R2380" s="208" t="str">
        <f ca="1">IF(ISERROR($V2380),"",OFFSET('Smelter Look-up'!$C$4,$V2380-4,0)&amp;"")</f>
        <v/>
      </c>
      <c r="S2380" s="215" t="str">
        <f t="shared" ca="1" si="336"/>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si="337"/>
        <v>0</v>
      </c>
      <c r="Y2380" s="263"/>
      <c r="Z2380" s="263"/>
      <c r="AB2380" s="265" t="str">
        <f t="shared" si="338"/>
        <v/>
      </c>
    </row>
    <row r="2381" spans="1:28" s="264" customFormat="1" ht="20.399999999999999">
      <c r="A2381" s="207"/>
      <c r="B2381" s="208"/>
      <c r="C2381" s="212"/>
      <c r="D2381" s="270"/>
      <c r="E2381" s="208"/>
      <c r="F2381" s="208"/>
      <c r="G2381" s="208"/>
      <c r="H2381" s="209"/>
      <c r="I2381" s="210"/>
      <c r="J2381" s="210"/>
      <c r="K2381" s="260"/>
      <c r="L2381" s="260"/>
      <c r="M2381" s="260"/>
      <c r="N2381" s="260"/>
      <c r="O2381" s="260"/>
      <c r="P2381" s="211"/>
      <c r="Q2381" s="261"/>
      <c r="R2381" s="208" t="str">
        <f ca="1">IF(ISERROR($V2381),"",OFFSET('Smelter Look-up'!$C$4,$V2381-4,0)&amp;"")</f>
        <v/>
      </c>
      <c r="S2381" s="215" t="str">
        <f t="shared" ca="1" si="336"/>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si="337"/>
        <v>0</v>
      </c>
      <c r="Y2381" s="263"/>
      <c r="Z2381" s="263"/>
      <c r="AB2381" s="265" t="str">
        <f t="shared" si="338"/>
        <v/>
      </c>
    </row>
    <row r="2382" spans="1:28" s="264" customFormat="1" ht="20.399999999999999">
      <c r="A2382" s="207"/>
      <c r="B2382" s="208"/>
      <c r="C2382" s="212"/>
      <c r="D2382" s="270"/>
      <c r="E2382" s="208"/>
      <c r="F2382" s="208"/>
      <c r="G2382" s="208"/>
      <c r="H2382" s="209"/>
      <c r="I2382" s="210"/>
      <c r="J2382" s="210"/>
      <c r="K2382" s="260"/>
      <c r="L2382" s="260"/>
      <c r="M2382" s="260"/>
      <c r="N2382" s="260"/>
      <c r="O2382" s="260"/>
      <c r="P2382" s="211"/>
      <c r="Q2382" s="261"/>
      <c r="R2382" s="208" t="str">
        <f ca="1">IF(ISERROR($V2382),"",OFFSET('Smelter Look-up'!$C$4,$V2382-4,0)&amp;"")</f>
        <v/>
      </c>
      <c r="S2382" s="215" t="str">
        <f t="shared" ca="1" si="336"/>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si="337"/>
        <v>0</v>
      </c>
      <c r="Y2382" s="263"/>
      <c r="Z2382" s="263"/>
      <c r="AB2382" s="265" t="str">
        <f t="shared" si="338"/>
        <v/>
      </c>
    </row>
    <row r="2383" spans="1:28" s="264" customFormat="1" ht="20.399999999999999">
      <c r="A2383" s="207"/>
      <c r="B2383" s="208"/>
      <c r="C2383" s="212"/>
      <c r="D2383" s="270"/>
      <c r="E2383" s="208"/>
      <c r="F2383" s="208"/>
      <c r="G2383" s="208"/>
      <c r="H2383" s="209"/>
      <c r="I2383" s="210"/>
      <c r="J2383" s="210"/>
      <c r="K2383" s="260"/>
      <c r="L2383" s="260"/>
      <c r="M2383" s="260"/>
      <c r="N2383" s="260"/>
      <c r="O2383" s="260"/>
      <c r="P2383" s="211"/>
      <c r="Q2383" s="261"/>
      <c r="R2383" s="208" t="str">
        <f ca="1">IF(ISERROR($V2383),"",OFFSET('Smelter Look-up'!$C$4,$V2383-4,0)&amp;"")</f>
        <v/>
      </c>
      <c r="S2383" s="215" t="str">
        <f t="shared" ca="1" si="336"/>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si="337"/>
        <v>0</v>
      </c>
      <c r="Y2383" s="263"/>
      <c r="Z2383" s="263"/>
      <c r="AB2383" s="265" t="str">
        <f t="shared" si="338"/>
        <v/>
      </c>
    </row>
    <row r="2384" spans="1:28" s="264" customFormat="1" ht="20.399999999999999">
      <c r="A2384" s="207"/>
      <c r="B2384" s="208"/>
      <c r="C2384" s="212"/>
      <c r="D2384" s="270"/>
      <c r="E2384" s="208"/>
      <c r="F2384" s="208"/>
      <c r="G2384" s="208"/>
      <c r="H2384" s="209"/>
      <c r="I2384" s="210"/>
      <c r="J2384" s="210"/>
      <c r="K2384" s="260"/>
      <c r="L2384" s="260"/>
      <c r="M2384" s="260"/>
      <c r="N2384" s="260"/>
      <c r="O2384" s="260"/>
      <c r="P2384" s="211"/>
      <c r="Q2384" s="261"/>
      <c r="R2384" s="208" t="str">
        <f ca="1">IF(ISERROR($V2384),"",OFFSET('Smelter Look-up'!$C$4,$V2384-4,0)&amp;"")</f>
        <v/>
      </c>
      <c r="S2384" s="215" t="str">
        <f t="shared" ca="1" si="336"/>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si="337"/>
        <v>0</v>
      </c>
      <c r="Y2384" s="263"/>
      <c r="Z2384" s="263"/>
      <c r="AB2384" s="265" t="str">
        <f t="shared" si="338"/>
        <v/>
      </c>
    </row>
    <row r="2385" spans="1:28" s="264" customFormat="1" ht="20.399999999999999">
      <c r="A2385" s="207"/>
      <c r="B2385" s="208"/>
      <c r="C2385" s="212"/>
      <c r="D2385" s="270"/>
      <c r="E2385" s="208"/>
      <c r="F2385" s="208"/>
      <c r="G2385" s="208"/>
      <c r="H2385" s="209"/>
      <c r="I2385" s="210"/>
      <c r="J2385" s="210"/>
      <c r="K2385" s="260"/>
      <c r="L2385" s="260"/>
      <c r="M2385" s="260"/>
      <c r="N2385" s="260"/>
      <c r="O2385" s="260"/>
      <c r="P2385" s="211"/>
      <c r="Q2385" s="261"/>
      <c r="R2385" s="208" t="str">
        <f ca="1">IF(ISERROR($V2385),"",OFFSET('Smelter Look-up'!$C$4,$V2385-4,0)&amp;"")</f>
        <v/>
      </c>
      <c r="S2385" s="215" t="str">
        <f t="shared" ca="1" si="336"/>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si="337"/>
        <v>0</v>
      </c>
      <c r="Y2385" s="263"/>
      <c r="Z2385" s="263"/>
      <c r="AB2385" s="265" t="str">
        <f t="shared" si="338"/>
        <v/>
      </c>
    </row>
    <row r="2386" spans="1:28" s="264" customFormat="1" ht="20.399999999999999">
      <c r="A2386" s="207"/>
      <c r="B2386" s="208"/>
      <c r="C2386" s="212"/>
      <c r="D2386" s="270"/>
      <c r="E2386" s="208"/>
      <c r="F2386" s="208"/>
      <c r="G2386" s="208"/>
      <c r="H2386" s="209"/>
      <c r="I2386" s="210"/>
      <c r="J2386" s="210"/>
      <c r="K2386" s="260"/>
      <c r="L2386" s="260"/>
      <c r="M2386" s="260"/>
      <c r="N2386" s="260"/>
      <c r="O2386" s="260"/>
      <c r="P2386" s="211"/>
      <c r="Q2386" s="261"/>
      <c r="R2386" s="208" t="str">
        <f ca="1">IF(ISERROR($V2386),"",OFFSET('Smelter Look-up'!$C$4,$V2386-4,0)&amp;"")</f>
        <v/>
      </c>
      <c r="S2386" s="215" t="str">
        <f t="shared" ca="1" si="336"/>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si="337"/>
        <v>0</v>
      </c>
      <c r="Y2386" s="263"/>
      <c r="Z2386" s="263"/>
      <c r="AB2386" s="265" t="str">
        <f t="shared" si="338"/>
        <v/>
      </c>
    </row>
    <row r="2387" spans="1:28" s="264" customFormat="1" ht="20.399999999999999">
      <c r="A2387" s="207"/>
      <c r="B2387" s="208"/>
      <c r="C2387" s="212"/>
      <c r="D2387" s="270"/>
      <c r="E2387" s="208"/>
      <c r="F2387" s="208"/>
      <c r="G2387" s="208"/>
      <c r="H2387" s="209"/>
      <c r="I2387" s="210"/>
      <c r="J2387" s="210"/>
      <c r="K2387" s="260"/>
      <c r="L2387" s="260"/>
      <c r="M2387" s="260"/>
      <c r="N2387" s="260"/>
      <c r="O2387" s="260"/>
      <c r="P2387" s="211"/>
      <c r="Q2387" s="261"/>
      <c r="R2387" s="208" t="str">
        <f ca="1">IF(ISERROR($V2387),"",OFFSET('Smelter Look-up'!$C$4,$V2387-4,0)&amp;"")</f>
        <v/>
      </c>
      <c r="S2387" s="215" t="str">
        <f t="shared" ca="1" si="336"/>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si="337"/>
        <v>0</v>
      </c>
      <c r="Y2387" s="263"/>
      <c r="Z2387" s="263"/>
      <c r="AB2387" s="265" t="str">
        <f t="shared" si="338"/>
        <v/>
      </c>
    </row>
    <row r="2388" spans="1:28" s="264" customFormat="1" ht="20.399999999999999">
      <c r="A2388" s="207"/>
      <c r="B2388" s="208"/>
      <c r="C2388" s="212"/>
      <c r="D2388" s="270"/>
      <c r="E2388" s="208"/>
      <c r="F2388" s="208"/>
      <c r="G2388" s="208"/>
      <c r="H2388" s="209"/>
      <c r="I2388" s="210"/>
      <c r="J2388" s="210"/>
      <c r="K2388" s="260"/>
      <c r="L2388" s="260"/>
      <c r="M2388" s="260"/>
      <c r="N2388" s="260"/>
      <c r="O2388" s="260"/>
      <c r="P2388" s="211"/>
      <c r="Q2388" s="261"/>
      <c r="R2388" s="208" t="str">
        <f ca="1">IF(ISERROR($V2388),"",OFFSET('Smelter Look-up'!$C$4,$V2388-4,0)&amp;"")</f>
        <v/>
      </c>
      <c r="S2388" s="215" t="str">
        <f t="shared" ca="1" si="336"/>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si="337"/>
        <v>0</v>
      </c>
      <c r="Y2388" s="263"/>
      <c r="Z2388" s="263"/>
      <c r="AB2388" s="265" t="str">
        <f t="shared" si="338"/>
        <v/>
      </c>
    </row>
    <row r="2389" spans="1:28" s="264" customFormat="1" ht="20.399999999999999">
      <c r="A2389" s="207"/>
      <c r="B2389" s="208"/>
      <c r="C2389" s="212"/>
      <c r="D2389" s="270"/>
      <c r="E2389" s="208"/>
      <c r="F2389" s="208"/>
      <c r="G2389" s="208"/>
      <c r="H2389" s="209"/>
      <c r="I2389" s="210"/>
      <c r="J2389" s="210"/>
      <c r="K2389" s="260"/>
      <c r="L2389" s="260"/>
      <c r="M2389" s="260"/>
      <c r="N2389" s="260"/>
      <c r="O2389" s="260"/>
      <c r="P2389" s="211"/>
      <c r="Q2389" s="261"/>
      <c r="R2389" s="208" t="str">
        <f ca="1">IF(ISERROR($V2389),"",OFFSET('Smelter Look-up'!$C$4,$V2389-4,0)&amp;"")</f>
        <v/>
      </c>
      <c r="S2389" s="215" t="str">
        <f t="shared" ca="1" si="336"/>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si="337"/>
        <v>0</v>
      </c>
      <c r="Y2389" s="263"/>
      <c r="Z2389" s="263"/>
      <c r="AB2389" s="265" t="str">
        <f t="shared" si="338"/>
        <v/>
      </c>
    </row>
    <row r="2390" spans="1:28" s="264" customFormat="1" ht="20.399999999999999">
      <c r="A2390" s="207"/>
      <c r="B2390" s="208"/>
      <c r="C2390" s="212"/>
      <c r="D2390" s="270"/>
      <c r="E2390" s="208"/>
      <c r="F2390" s="208"/>
      <c r="G2390" s="208"/>
      <c r="H2390" s="209"/>
      <c r="I2390" s="210"/>
      <c r="J2390" s="210"/>
      <c r="K2390" s="260"/>
      <c r="L2390" s="260"/>
      <c r="M2390" s="260"/>
      <c r="N2390" s="260"/>
      <c r="O2390" s="260"/>
      <c r="P2390" s="211"/>
      <c r="Q2390" s="261"/>
      <c r="R2390" s="208" t="str">
        <f ca="1">IF(ISERROR($V2390),"",OFFSET('Smelter Look-up'!$C$4,$V2390-4,0)&amp;"")</f>
        <v/>
      </c>
      <c r="S2390" s="215" t="str">
        <f t="shared" ca="1" si="336"/>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si="337"/>
        <v>0</v>
      </c>
      <c r="Y2390" s="263"/>
      <c r="Z2390" s="263"/>
      <c r="AB2390" s="265" t="str">
        <f t="shared" si="338"/>
        <v/>
      </c>
    </row>
    <row r="2391" spans="1:28" s="264" customFormat="1" ht="20.399999999999999">
      <c r="A2391" s="207"/>
      <c r="B2391" s="208"/>
      <c r="C2391" s="212"/>
      <c r="D2391" s="270"/>
      <c r="E2391" s="208"/>
      <c r="F2391" s="208"/>
      <c r="G2391" s="208"/>
      <c r="H2391" s="209"/>
      <c r="I2391" s="210"/>
      <c r="J2391" s="210"/>
      <c r="K2391" s="260"/>
      <c r="L2391" s="260"/>
      <c r="M2391" s="260"/>
      <c r="N2391" s="260"/>
      <c r="O2391" s="260"/>
      <c r="P2391" s="211"/>
      <c r="Q2391" s="261"/>
      <c r="R2391" s="208" t="str">
        <f ca="1">IF(ISERROR($V2391),"",OFFSET('Smelter Look-up'!$C$4,$V2391-4,0)&amp;"")</f>
        <v/>
      </c>
      <c r="S2391" s="215" t="str">
        <f t="shared" ca="1" si="336"/>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si="337"/>
        <v>0</v>
      </c>
      <c r="Y2391" s="263"/>
      <c r="Z2391" s="263"/>
      <c r="AB2391" s="265" t="str">
        <f t="shared" si="338"/>
        <v/>
      </c>
    </row>
    <row r="2392" spans="1:28" s="264" customFormat="1" ht="20.399999999999999">
      <c r="A2392" s="207"/>
      <c r="B2392" s="208"/>
      <c r="C2392" s="212"/>
      <c r="D2392" s="270"/>
      <c r="E2392" s="208"/>
      <c r="F2392" s="208"/>
      <c r="G2392" s="208"/>
      <c r="H2392" s="209"/>
      <c r="I2392" s="210"/>
      <c r="J2392" s="210"/>
      <c r="K2392" s="260"/>
      <c r="L2392" s="260"/>
      <c r="M2392" s="260"/>
      <c r="N2392" s="260"/>
      <c r="O2392" s="260"/>
      <c r="P2392" s="211"/>
      <c r="Q2392" s="261"/>
      <c r="R2392" s="208" t="str">
        <f ca="1">IF(ISERROR($V2392),"",OFFSET('Smelter Look-up'!$C$4,$V2392-4,0)&amp;"")</f>
        <v/>
      </c>
      <c r="S2392" s="215" t="str">
        <f t="shared" ca="1" si="336"/>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si="337"/>
        <v>0</v>
      </c>
      <c r="Y2392" s="263"/>
      <c r="Z2392" s="263"/>
      <c r="AB2392" s="265" t="str">
        <f t="shared" si="338"/>
        <v/>
      </c>
    </row>
    <row r="2393" spans="1:28" s="264" customFormat="1" ht="20.399999999999999">
      <c r="A2393" s="207"/>
      <c r="B2393" s="208"/>
      <c r="C2393" s="212"/>
      <c r="D2393" s="270"/>
      <c r="E2393" s="208"/>
      <c r="F2393" s="208"/>
      <c r="G2393" s="208"/>
      <c r="H2393" s="209"/>
      <c r="I2393" s="210"/>
      <c r="J2393" s="210"/>
      <c r="K2393" s="260"/>
      <c r="L2393" s="260"/>
      <c r="M2393" s="260"/>
      <c r="N2393" s="260"/>
      <c r="O2393" s="260"/>
      <c r="P2393" s="211"/>
      <c r="Q2393" s="261"/>
      <c r="R2393" s="208" t="str">
        <f ca="1">IF(ISERROR($V2393),"",OFFSET('Smelter Look-up'!$C$4,$V2393-4,0)&amp;"")</f>
        <v/>
      </c>
      <c r="S2393" s="215" t="str">
        <f t="shared" ca="1" si="336"/>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si="337"/>
        <v>0</v>
      </c>
      <c r="Y2393" s="263"/>
      <c r="Z2393" s="263"/>
      <c r="AB2393" s="265" t="str">
        <f t="shared" si="338"/>
        <v/>
      </c>
    </row>
    <row r="2394" spans="1:28" s="264" customFormat="1" ht="20.399999999999999">
      <c r="A2394" s="207"/>
      <c r="B2394" s="208"/>
      <c r="C2394" s="212"/>
      <c r="D2394" s="270"/>
      <c r="E2394" s="208"/>
      <c r="F2394" s="208"/>
      <c r="G2394" s="208"/>
      <c r="H2394" s="209"/>
      <c r="I2394" s="210"/>
      <c r="J2394" s="210"/>
      <c r="K2394" s="260"/>
      <c r="L2394" s="260"/>
      <c r="M2394" s="260"/>
      <c r="N2394" s="260"/>
      <c r="O2394" s="260"/>
      <c r="P2394" s="211"/>
      <c r="Q2394" s="261"/>
      <c r="R2394" s="208" t="str">
        <f ca="1">IF(ISERROR($V2394),"",OFFSET('Smelter Look-up'!$C$4,$V2394-4,0)&amp;"")</f>
        <v/>
      </c>
      <c r="S2394" s="215" t="str">
        <f t="shared" ca="1" si="336"/>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si="337"/>
        <v>0</v>
      </c>
      <c r="Y2394" s="263"/>
      <c r="Z2394" s="263"/>
      <c r="AB2394" s="265" t="str">
        <f t="shared" si="338"/>
        <v/>
      </c>
    </row>
    <row r="2395" spans="1:28" s="264" customFormat="1" ht="20.399999999999999">
      <c r="A2395" s="207"/>
      <c r="B2395" s="208"/>
      <c r="C2395" s="212"/>
      <c r="D2395" s="270"/>
      <c r="E2395" s="208"/>
      <c r="F2395" s="208"/>
      <c r="G2395" s="208"/>
      <c r="H2395" s="209"/>
      <c r="I2395" s="210"/>
      <c r="J2395" s="210"/>
      <c r="K2395" s="260"/>
      <c r="L2395" s="260"/>
      <c r="M2395" s="260"/>
      <c r="N2395" s="260"/>
      <c r="O2395" s="260"/>
      <c r="P2395" s="211"/>
      <c r="Q2395" s="261"/>
      <c r="R2395" s="208" t="str">
        <f ca="1">IF(ISERROR($V2395),"",OFFSET('Smelter Look-up'!$C$4,$V2395-4,0)&amp;"")</f>
        <v/>
      </c>
      <c r="S2395" s="215" t="str">
        <f t="shared" ca="1" si="336"/>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si="337"/>
        <v>0</v>
      </c>
      <c r="Y2395" s="263"/>
      <c r="Z2395" s="263"/>
      <c r="AB2395" s="265" t="str">
        <f t="shared" si="338"/>
        <v/>
      </c>
    </row>
    <row r="2396" spans="1:28" s="264" customFormat="1" ht="20.399999999999999">
      <c r="A2396" s="207"/>
      <c r="B2396" s="208"/>
      <c r="C2396" s="212"/>
      <c r="D2396" s="270"/>
      <c r="E2396" s="208"/>
      <c r="F2396" s="208"/>
      <c r="G2396" s="208"/>
      <c r="H2396" s="209"/>
      <c r="I2396" s="210"/>
      <c r="J2396" s="210"/>
      <c r="K2396" s="260"/>
      <c r="L2396" s="260"/>
      <c r="M2396" s="260"/>
      <c r="N2396" s="260"/>
      <c r="O2396" s="260"/>
      <c r="P2396" s="211"/>
      <c r="Q2396" s="261"/>
      <c r="R2396" s="208" t="str">
        <f ca="1">IF(ISERROR($V2396),"",OFFSET('Smelter Look-up'!$C$4,$V2396-4,0)&amp;"")</f>
        <v/>
      </c>
      <c r="S2396" s="215" t="str">
        <f t="shared" ref="S2396:S2426" ca="1" si="339">IF(B2396="","",IF(ISERROR(MATCH($E2396,CL,0)),"Unknown",INDIRECT("'C'!$A$"&amp;MATCH($E2396,CL,0)+1)))</f>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ref="X2396:X2426" si="340">IF(AND(C2396="Smelter not listed",OR(LEN(D2396)=0,LEN(E2396)=0)),1,0)</f>
        <v>0</v>
      </c>
      <c r="Y2396" s="263"/>
      <c r="Z2396" s="263"/>
      <c r="AB2396" s="265" t="str">
        <f t="shared" ref="AB2396:AB2426" si="341">B2396&amp;C2396</f>
        <v/>
      </c>
    </row>
    <row r="2397" spans="1:28" s="264" customFormat="1" ht="20.399999999999999">
      <c r="A2397" s="207"/>
      <c r="B2397" s="208"/>
      <c r="C2397" s="212"/>
      <c r="D2397" s="270"/>
      <c r="E2397" s="208"/>
      <c r="F2397" s="208"/>
      <c r="G2397" s="208"/>
      <c r="H2397" s="209"/>
      <c r="I2397" s="210"/>
      <c r="J2397" s="210"/>
      <c r="K2397" s="260"/>
      <c r="L2397" s="260"/>
      <c r="M2397" s="260"/>
      <c r="N2397" s="260"/>
      <c r="O2397" s="260"/>
      <c r="P2397" s="211"/>
      <c r="Q2397" s="261"/>
      <c r="R2397" s="208" t="str">
        <f ca="1">IF(ISERROR($V2397),"",OFFSET('Smelter Look-up'!$C$4,$V2397-4,0)&amp;"")</f>
        <v/>
      </c>
      <c r="S2397" s="215" t="str">
        <f t="shared" ca="1" si="339"/>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si="340"/>
        <v>0</v>
      </c>
      <c r="Y2397" s="263"/>
      <c r="Z2397" s="263"/>
      <c r="AB2397" s="265" t="str">
        <f t="shared" si="341"/>
        <v/>
      </c>
    </row>
    <row r="2398" spans="1:28" s="264" customFormat="1" ht="20.399999999999999">
      <c r="A2398" s="207"/>
      <c r="B2398" s="208"/>
      <c r="C2398" s="212"/>
      <c r="D2398" s="270"/>
      <c r="E2398" s="208"/>
      <c r="F2398" s="208"/>
      <c r="G2398" s="208"/>
      <c r="H2398" s="209"/>
      <c r="I2398" s="210"/>
      <c r="J2398" s="210"/>
      <c r="K2398" s="260"/>
      <c r="L2398" s="260"/>
      <c r="M2398" s="260"/>
      <c r="N2398" s="260"/>
      <c r="O2398" s="260"/>
      <c r="P2398" s="211"/>
      <c r="Q2398" s="261"/>
      <c r="R2398" s="208" t="str">
        <f ca="1">IF(ISERROR($V2398),"",OFFSET('Smelter Look-up'!$C$4,$V2398-4,0)&amp;"")</f>
        <v/>
      </c>
      <c r="S2398" s="215" t="str">
        <f t="shared" ca="1" si="339"/>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si="340"/>
        <v>0</v>
      </c>
      <c r="Y2398" s="263"/>
      <c r="Z2398" s="263"/>
      <c r="AB2398" s="265" t="str">
        <f t="shared" si="341"/>
        <v/>
      </c>
    </row>
    <row r="2399" spans="1:28" s="264" customFormat="1" ht="20.399999999999999">
      <c r="A2399" s="207"/>
      <c r="B2399" s="208"/>
      <c r="C2399" s="212"/>
      <c r="D2399" s="270"/>
      <c r="E2399" s="208"/>
      <c r="F2399" s="208"/>
      <c r="G2399" s="208"/>
      <c r="H2399" s="209"/>
      <c r="I2399" s="210"/>
      <c r="J2399" s="210"/>
      <c r="K2399" s="260"/>
      <c r="L2399" s="260"/>
      <c r="M2399" s="260"/>
      <c r="N2399" s="260"/>
      <c r="O2399" s="260"/>
      <c r="P2399" s="211"/>
      <c r="Q2399" s="261"/>
      <c r="R2399" s="208" t="str">
        <f ca="1">IF(ISERROR($V2399),"",OFFSET('Smelter Look-up'!$C$4,$V2399-4,0)&amp;"")</f>
        <v/>
      </c>
      <c r="S2399" s="215" t="str">
        <f t="shared" ca="1" si="339"/>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si="340"/>
        <v>0</v>
      </c>
      <c r="Y2399" s="263"/>
      <c r="Z2399" s="263"/>
      <c r="AB2399" s="265" t="str">
        <f t="shared" si="341"/>
        <v/>
      </c>
    </row>
    <row r="2400" spans="1:28" s="264" customFormat="1" ht="20.399999999999999">
      <c r="A2400" s="207"/>
      <c r="B2400" s="208"/>
      <c r="C2400" s="212"/>
      <c r="D2400" s="270"/>
      <c r="E2400" s="208"/>
      <c r="F2400" s="208"/>
      <c r="G2400" s="208"/>
      <c r="H2400" s="209"/>
      <c r="I2400" s="210"/>
      <c r="J2400" s="210"/>
      <c r="K2400" s="260"/>
      <c r="L2400" s="260"/>
      <c r="M2400" s="260"/>
      <c r="N2400" s="260"/>
      <c r="O2400" s="260"/>
      <c r="P2400" s="211"/>
      <c r="Q2400" s="261"/>
      <c r="R2400" s="208" t="str">
        <f ca="1">IF(ISERROR($V2400),"",OFFSET('Smelter Look-up'!$C$4,$V2400-4,0)&amp;"")</f>
        <v/>
      </c>
      <c r="S2400" s="215" t="str">
        <f t="shared" ca="1" si="339"/>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si="340"/>
        <v>0</v>
      </c>
      <c r="Y2400" s="263"/>
      <c r="Z2400" s="263"/>
      <c r="AB2400" s="265" t="str">
        <f t="shared" si="341"/>
        <v/>
      </c>
    </row>
    <row r="2401" spans="1:28" s="264" customFormat="1" ht="20.399999999999999">
      <c r="A2401" s="207"/>
      <c r="B2401" s="208"/>
      <c r="C2401" s="212"/>
      <c r="D2401" s="270"/>
      <c r="E2401" s="208"/>
      <c r="F2401" s="208"/>
      <c r="G2401" s="208"/>
      <c r="H2401" s="209"/>
      <c r="I2401" s="210"/>
      <c r="J2401" s="210"/>
      <c r="K2401" s="260"/>
      <c r="L2401" s="260"/>
      <c r="M2401" s="260"/>
      <c r="N2401" s="260"/>
      <c r="O2401" s="260"/>
      <c r="P2401" s="211"/>
      <c r="Q2401" s="261"/>
      <c r="R2401" s="208" t="str">
        <f ca="1">IF(ISERROR($V2401),"",OFFSET('Smelter Look-up'!$C$4,$V2401-4,0)&amp;"")</f>
        <v/>
      </c>
      <c r="S2401" s="215" t="str">
        <f t="shared" ca="1" si="339"/>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si="340"/>
        <v>0</v>
      </c>
      <c r="Y2401" s="263"/>
      <c r="Z2401" s="263"/>
      <c r="AB2401" s="265" t="str">
        <f t="shared" si="341"/>
        <v/>
      </c>
    </row>
    <row r="2402" spans="1:28" s="264" customFormat="1" ht="20.399999999999999">
      <c r="A2402" s="207"/>
      <c r="B2402" s="208"/>
      <c r="C2402" s="212"/>
      <c r="D2402" s="270"/>
      <c r="E2402" s="208"/>
      <c r="F2402" s="208"/>
      <c r="G2402" s="208"/>
      <c r="H2402" s="209"/>
      <c r="I2402" s="210"/>
      <c r="J2402" s="210"/>
      <c r="K2402" s="260"/>
      <c r="L2402" s="260"/>
      <c r="M2402" s="260"/>
      <c r="N2402" s="260"/>
      <c r="O2402" s="260"/>
      <c r="P2402" s="211"/>
      <c r="Q2402" s="261"/>
      <c r="R2402" s="208" t="str">
        <f ca="1">IF(ISERROR($V2402),"",OFFSET('Smelter Look-up'!$C$4,$V2402-4,0)&amp;"")</f>
        <v/>
      </c>
      <c r="S2402" s="215" t="str">
        <f t="shared" ca="1" si="339"/>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si="340"/>
        <v>0</v>
      </c>
      <c r="Y2402" s="263"/>
      <c r="Z2402" s="263"/>
      <c r="AB2402" s="265" t="str">
        <f t="shared" si="341"/>
        <v/>
      </c>
    </row>
    <row r="2403" spans="1:28" s="264" customFormat="1" ht="20.399999999999999">
      <c r="A2403" s="207"/>
      <c r="B2403" s="208"/>
      <c r="C2403" s="212"/>
      <c r="D2403" s="270"/>
      <c r="E2403" s="208"/>
      <c r="F2403" s="208"/>
      <c r="G2403" s="208"/>
      <c r="H2403" s="209"/>
      <c r="I2403" s="210"/>
      <c r="J2403" s="210"/>
      <c r="K2403" s="260"/>
      <c r="L2403" s="260"/>
      <c r="M2403" s="260"/>
      <c r="N2403" s="260"/>
      <c r="O2403" s="260"/>
      <c r="P2403" s="211"/>
      <c r="Q2403" s="261"/>
      <c r="R2403" s="208" t="str">
        <f ca="1">IF(ISERROR($V2403),"",OFFSET('Smelter Look-up'!$C$4,$V2403-4,0)&amp;"")</f>
        <v/>
      </c>
      <c r="S2403" s="215" t="str">
        <f t="shared" ca="1" si="339"/>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si="340"/>
        <v>0</v>
      </c>
      <c r="Y2403" s="263"/>
      <c r="Z2403" s="263"/>
      <c r="AB2403" s="265" t="str">
        <f t="shared" si="341"/>
        <v/>
      </c>
    </row>
    <row r="2404" spans="1:28" s="264" customFormat="1" ht="20.399999999999999">
      <c r="A2404" s="207"/>
      <c r="B2404" s="208"/>
      <c r="C2404" s="212"/>
      <c r="D2404" s="270"/>
      <c r="E2404" s="208"/>
      <c r="F2404" s="208"/>
      <c r="G2404" s="208"/>
      <c r="H2404" s="209"/>
      <c r="I2404" s="210"/>
      <c r="J2404" s="210"/>
      <c r="K2404" s="260"/>
      <c r="L2404" s="260"/>
      <c r="M2404" s="260"/>
      <c r="N2404" s="260"/>
      <c r="O2404" s="260"/>
      <c r="P2404" s="211"/>
      <c r="Q2404" s="261"/>
      <c r="R2404" s="208" t="str">
        <f ca="1">IF(ISERROR($V2404),"",OFFSET('Smelter Look-up'!$C$4,$V2404-4,0)&amp;"")</f>
        <v/>
      </c>
      <c r="S2404" s="215" t="str">
        <f t="shared" ca="1" si="339"/>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si="340"/>
        <v>0</v>
      </c>
      <c r="Y2404" s="263"/>
      <c r="Z2404" s="263"/>
      <c r="AB2404" s="265" t="str">
        <f t="shared" si="341"/>
        <v/>
      </c>
    </row>
    <row r="2405" spans="1:28" s="264" customFormat="1" ht="20.399999999999999">
      <c r="A2405" s="207"/>
      <c r="B2405" s="208"/>
      <c r="C2405" s="212"/>
      <c r="D2405" s="270"/>
      <c r="E2405" s="208"/>
      <c r="F2405" s="208"/>
      <c r="G2405" s="208"/>
      <c r="H2405" s="209"/>
      <c r="I2405" s="210"/>
      <c r="J2405" s="210"/>
      <c r="K2405" s="260"/>
      <c r="L2405" s="260"/>
      <c r="M2405" s="260"/>
      <c r="N2405" s="260"/>
      <c r="O2405" s="260"/>
      <c r="P2405" s="211"/>
      <c r="Q2405" s="261"/>
      <c r="R2405" s="208" t="str">
        <f ca="1">IF(ISERROR($V2405),"",OFFSET('Smelter Look-up'!$C$4,$V2405-4,0)&amp;"")</f>
        <v/>
      </c>
      <c r="S2405" s="215" t="str">
        <f t="shared" ca="1" si="339"/>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si="340"/>
        <v>0</v>
      </c>
      <c r="Y2405" s="263"/>
      <c r="Z2405" s="263"/>
      <c r="AB2405" s="265" t="str">
        <f t="shared" si="341"/>
        <v/>
      </c>
    </row>
    <row r="2406" spans="1:28" s="264" customFormat="1" ht="20.399999999999999">
      <c r="A2406" s="207"/>
      <c r="B2406" s="208"/>
      <c r="C2406" s="212"/>
      <c r="D2406" s="270"/>
      <c r="E2406" s="208"/>
      <c r="F2406" s="208"/>
      <c r="G2406" s="208"/>
      <c r="H2406" s="209"/>
      <c r="I2406" s="210"/>
      <c r="J2406" s="210"/>
      <c r="K2406" s="260"/>
      <c r="L2406" s="260"/>
      <c r="M2406" s="260"/>
      <c r="N2406" s="260"/>
      <c r="O2406" s="260"/>
      <c r="P2406" s="211"/>
      <c r="Q2406" s="261"/>
      <c r="R2406" s="208" t="str">
        <f ca="1">IF(ISERROR($V2406),"",OFFSET('Smelter Look-up'!$C$4,$V2406-4,0)&amp;"")</f>
        <v/>
      </c>
      <c r="S2406" s="215" t="str">
        <f t="shared" ca="1" si="339"/>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si="340"/>
        <v>0</v>
      </c>
      <c r="Y2406" s="263"/>
      <c r="Z2406" s="263"/>
      <c r="AB2406" s="265" t="str">
        <f t="shared" si="341"/>
        <v/>
      </c>
    </row>
    <row r="2407" spans="1:28" s="264" customFormat="1" ht="20.399999999999999">
      <c r="A2407" s="207"/>
      <c r="B2407" s="208"/>
      <c r="C2407" s="212"/>
      <c r="D2407" s="270"/>
      <c r="E2407" s="208"/>
      <c r="F2407" s="208"/>
      <c r="G2407" s="208"/>
      <c r="H2407" s="209"/>
      <c r="I2407" s="210"/>
      <c r="J2407" s="210"/>
      <c r="K2407" s="260"/>
      <c r="L2407" s="260"/>
      <c r="M2407" s="260"/>
      <c r="N2407" s="260"/>
      <c r="O2407" s="260"/>
      <c r="P2407" s="211"/>
      <c r="Q2407" s="261"/>
      <c r="R2407" s="208" t="str">
        <f ca="1">IF(ISERROR($V2407),"",OFFSET('Smelter Look-up'!$C$4,$V2407-4,0)&amp;"")</f>
        <v/>
      </c>
      <c r="S2407" s="215" t="str">
        <f t="shared" ca="1" si="339"/>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si="340"/>
        <v>0</v>
      </c>
      <c r="Y2407" s="263"/>
      <c r="Z2407" s="263"/>
      <c r="AB2407" s="265" t="str">
        <f t="shared" si="341"/>
        <v/>
      </c>
    </row>
    <row r="2408" spans="1:28" s="264" customFormat="1" ht="20.399999999999999">
      <c r="A2408" s="207"/>
      <c r="B2408" s="208"/>
      <c r="C2408" s="212"/>
      <c r="D2408" s="270"/>
      <c r="E2408" s="208"/>
      <c r="F2408" s="208"/>
      <c r="G2408" s="208"/>
      <c r="H2408" s="209"/>
      <c r="I2408" s="210"/>
      <c r="J2408" s="210"/>
      <c r="K2408" s="260"/>
      <c r="L2408" s="260"/>
      <c r="M2408" s="260"/>
      <c r="N2408" s="260"/>
      <c r="O2408" s="260"/>
      <c r="P2408" s="211"/>
      <c r="Q2408" s="261"/>
      <c r="R2408" s="208" t="str">
        <f ca="1">IF(ISERROR($V2408),"",OFFSET('Smelter Look-up'!$C$4,$V2408-4,0)&amp;"")</f>
        <v/>
      </c>
      <c r="S2408" s="215" t="str">
        <f t="shared" ca="1" si="339"/>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si="340"/>
        <v>0</v>
      </c>
      <c r="Y2408" s="263"/>
      <c r="Z2408" s="263"/>
      <c r="AB2408" s="265" t="str">
        <f t="shared" si="341"/>
        <v/>
      </c>
    </row>
    <row r="2409" spans="1:28" s="264" customFormat="1" ht="20.399999999999999">
      <c r="A2409" s="207"/>
      <c r="B2409" s="208"/>
      <c r="C2409" s="212"/>
      <c r="D2409" s="270"/>
      <c r="E2409" s="208"/>
      <c r="F2409" s="208"/>
      <c r="G2409" s="208"/>
      <c r="H2409" s="209"/>
      <c r="I2409" s="210"/>
      <c r="J2409" s="210"/>
      <c r="K2409" s="260"/>
      <c r="L2409" s="260"/>
      <c r="M2409" s="260"/>
      <c r="N2409" s="260"/>
      <c r="O2409" s="260"/>
      <c r="P2409" s="211"/>
      <c r="Q2409" s="261"/>
      <c r="R2409" s="208" t="str">
        <f ca="1">IF(ISERROR($V2409),"",OFFSET('Smelter Look-up'!$C$4,$V2409-4,0)&amp;"")</f>
        <v/>
      </c>
      <c r="S2409" s="215" t="str">
        <f t="shared" ca="1" si="339"/>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si="340"/>
        <v>0</v>
      </c>
      <c r="Y2409" s="263"/>
      <c r="Z2409" s="263"/>
      <c r="AB2409" s="265" t="str">
        <f t="shared" si="341"/>
        <v/>
      </c>
    </row>
    <row r="2410" spans="1:28" s="264" customFormat="1" ht="20.399999999999999">
      <c r="A2410" s="207"/>
      <c r="B2410" s="208"/>
      <c r="C2410" s="212"/>
      <c r="D2410" s="270"/>
      <c r="E2410" s="208"/>
      <c r="F2410" s="208"/>
      <c r="G2410" s="208"/>
      <c r="H2410" s="209"/>
      <c r="I2410" s="210"/>
      <c r="J2410" s="210"/>
      <c r="K2410" s="260"/>
      <c r="L2410" s="260"/>
      <c r="M2410" s="260"/>
      <c r="N2410" s="260"/>
      <c r="O2410" s="260"/>
      <c r="P2410" s="211"/>
      <c r="Q2410" s="261"/>
      <c r="R2410" s="208" t="str">
        <f ca="1">IF(ISERROR($V2410),"",OFFSET('Smelter Look-up'!$C$4,$V2410-4,0)&amp;"")</f>
        <v/>
      </c>
      <c r="S2410" s="215" t="str">
        <f t="shared" ca="1" si="339"/>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si="340"/>
        <v>0</v>
      </c>
      <c r="Y2410" s="263"/>
      <c r="Z2410" s="263"/>
      <c r="AB2410" s="265" t="str">
        <f t="shared" si="341"/>
        <v/>
      </c>
    </row>
    <row r="2411" spans="1:28" s="264" customFormat="1" ht="20.399999999999999">
      <c r="A2411" s="207"/>
      <c r="B2411" s="208"/>
      <c r="C2411" s="212"/>
      <c r="D2411" s="270"/>
      <c r="E2411" s="208"/>
      <c r="F2411" s="208"/>
      <c r="G2411" s="208"/>
      <c r="H2411" s="209"/>
      <c r="I2411" s="210"/>
      <c r="J2411" s="210"/>
      <c r="K2411" s="260"/>
      <c r="L2411" s="260"/>
      <c r="M2411" s="260"/>
      <c r="N2411" s="260"/>
      <c r="O2411" s="260"/>
      <c r="P2411" s="211"/>
      <c r="Q2411" s="261"/>
      <c r="R2411" s="208" t="str">
        <f ca="1">IF(ISERROR($V2411),"",OFFSET('Smelter Look-up'!$C$4,$V2411-4,0)&amp;"")</f>
        <v/>
      </c>
      <c r="S2411" s="215" t="str">
        <f t="shared" ca="1" si="339"/>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si="340"/>
        <v>0</v>
      </c>
      <c r="Y2411" s="263"/>
      <c r="Z2411" s="263"/>
      <c r="AB2411" s="265" t="str">
        <f t="shared" si="341"/>
        <v/>
      </c>
    </row>
    <row r="2412" spans="1:28" s="264" customFormat="1" ht="20.399999999999999">
      <c r="A2412" s="207"/>
      <c r="B2412" s="208"/>
      <c r="C2412" s="212"/>
      <c r="D2412" s="270"/>
      <c r="E2412" s="208"/>
      <c r="F2412" s="208"/>
      <c r="G2412" s="208"/>
      <c r="H2412" s="209"/>
      <c r="I2412" s="210"/>
      <c r="J2412" s="210"/>
      <c r="K2412" s="260"/>
      <c r="L2412" s="260"/>
      <c r="M2412" s="260"/>
      <c r="N2412" s="260"/>
      <c r="O2412" s="260"/>
      <c r="P2412" s="211"/>
      <c r="Q2412" s="261"/>
      <c r="R2412" s="208" t="str">
        <f ca="1">IF(ISERROR($V2412),"",OFFSET('Smelter Look-up'!$C$4,$V2412-4,0)&amp;"")</f>
        <v/>
      </c>
      <c r="S2412" s="215" t="str">
        <f t="shared" ca="1" si="339"/>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si="340"/>
        <v>0</v>
      </c>
      <c r="Y2412" s="263"/>
      <c r="Z2412" s="263"/>
      <c r="AB2412" s="265" t="str">
        <f t="shared" si="341"/>
        <v/>
      </c>
    </row>
    <row r="2413" spans="1:28" s="264" customFormat="1" ht="20.399999999999999">
      <c r="A2413" s="207"/>
      <c r="B2413" s="208"/>
      <c r="C2413" s="212"/>
      <c r="D2413" s="270"/>
      <c r="E2413" s="208"/>
      <c r="F2413" s="208"/>
      <c r="G2413" s="208"/>
      <c r="H2413" s="209"/>
      <c r="I2413" s="210"/>
      <c r="J2413" s="210"/>
      <c r="K2413" s="260"/>
      <c r="L2413" s="260"/>
      <c r="M2413" s="260"/>
      <c r="N2413" s="260"/>
      <c r="O2413" s="260"/>
      <c r="P2413" s="211"/>
      <c r="Q2413" s="261"/>
      <c r="R2413" s="208" t="str">
        <f ca="1">IF(ISERROR($V2413),"",OFFSET('Smelter Look-up'!$C$4,$V2413-4,0)&amp;"")</f>
        <v/>
      </c>
      <c r="S2413" s="215" t="str">
        <f t="shared" ca="1" si="339"/>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si="340"/>
        <v>0</v>
      </c>
      <c r="Y2413" s="263"/>
      <c r="Z2413" s="263"/>
      <c r="AB2413" s="265" t="str">
        <f t="shared" si="341"/>
        <v/>
      </c>
    </row>
    <row r="2414" spans="1:28" s="264" customFormat="1" ht="20.399999999999999">
      <c r="A2414" s="207"/>
      <c r="B2414" s="208"/>
      <c r="C2414" s="212"/>
      <c r="D2414" s="270"/>
      <c r="E2414" s="208"/>
      <c r="F2414" s="208"/>
      <c r="G2414" s="208"/>
      <c r="H2414" s="209"/>
      <c r="I2414" s="210"/>
      <c r="J2414" s="210"/>
      <c r="K2414" s="260"/>
      <c r="L2414" s="260"/>
      <c r="M2414" s="260"/>
      <c r="N2414" s="260"/>
      <c r="O2414" s="260"/>
      <c r="P2414" s="211"/>
      <c r="Q2414" s="261"/>
      <c r="R2414" s="208" t="str">
        <f ca="1">IF(ISERROR($V2414),"",OFFSET('Smelter Look-up'!$C$4,$V2414-4,0)&amp;"")</f>
        <v/>
      </c>
      <c r="S2414" s="215" t="str">
        <f t="shared" ca="1" si="339"/>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si="340"/>
        <v>0</v>
      </c>
      <c r="Y2414" s="263"/>
      <c r="Z2414" s="263"/>
      <c r="AB2414" s="265" t="str">
        <f t="shared" si="341"/>
        <v/>
      </c>
    </row>
    <row r="2415" spans="1:28" s="264" customFormat="1" ht="20.399999999999999">
      <c r="A2415" s="207"/>
      <c r="B2415" s="208"/>
      <c r="C2415" s="212"/>
      <c r="D2415" s="270"/>
      <c r="E2415" s="208"/>
      <c r="F2415" s="208"/>
      <c r="G2415" s="208"/>
      <c r="H2415" s="209"/>
      <c r="I2415" s="210"/>
      <c r="J2415" s="210"/>
      <c r="K2415" s="260"/>
      <c r="L2415" s="260"/>
      <c r="M2415" s="260"/>
      <c r="N2415" s="260"/>
      <c r="O2415" s="260"/>
      <c r="P2415" s="211"/>
      <c r="Q2415" s="261"/>
      <c r="R2415" s="208" t="str">
        <f ca="1">IF(ISERROR($V2415),"",OFFSET('Smelter Look-up'!$C$4,$V2415-4,0)&amp;"")</f>
        <v/>
      </c>
      <c r="S2415" s="215" t="str">
        <f t="shared" ca="1" si="339"/>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si="340"/>
        <v>0</v>
      </c>
      <c r="Y2415" s="263"/>
      <c r="Z2415" s="263"/>
      <c r="AB2415" s="265" t="str">
        <f t="shared" si="341"/>
        <v/>
      </c>
    </row>
    <row r="2416" spans="1:28" s="264" customFormat="1" ht="20.399999999999999">
      <c r="A2416" s="207"/>
      <c r="B2416" s="208"/>
      <c r="C2416" s="212"/>
      <c r="D2416" s="270"/>
      <c r="E2416" s="208"/>
      <c r="F2416" s="208"/>
      <c r="G2416" s="208"/>
      <c r="H2416" s="209"/>
      <c r="I2416" s="210"/>
      <c r="J2416" s="210"/>
      <c r="K2416" s="260"/>
      <c r="L2416" s="260"/>
      <c r="M2416" s="260"/>
      <c r="N2416" s="260"/>
      <c r="O2416" s="260"/>
      <c r="P2416" s="211"/>
      <c r="Q2416" s="261"/>
      <c r="R2416" s="208" t="str">
        <f ca="1">IF(ISERROR($V2416),"",OFFSET('Smelter Look-up'!$C$4,$V2416-4,0)&amp;"")</f>
        <v/>
      </c>
      <c r="S2416" s="215" t="str">
        <f t="shared" ca="1" si="339"/>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si="340"/>
        <v>0</v>
      </c>
      <c r="Y2416" s="263"/>
      <c r="Z2416" s="263"/>
      <c r="AB2416" s="265" t="str">
        <f t="shared" si="341"/>
        <v/>
      </c>
    </row>
    <row r="2417" spans="1:28" s="264" customFormat="1" ht="20.399999999999999">
      <c r="A2417" s="207"/>
      <c r="B2417" s="208"/>
      <c r="C2417" s="212"/>
      <c r="D2417" s="270"/>
      <c r="E2417" s="208"/>
      <c r="F2417" s="208"/>
      <c r="G2417" s="208"/>
      <c r="H2417" s="209"/>
      <c r="I2417" s="210"/>
      <c r="J2417" s="210"/>
      <c r="K2417" s="260"/>
      <c r="L2417" s="260"/>
      <c r="M2417" s="260"/>
      <c r="N2417" s="260"/>
      <c r="O2417" s="260"/>
      <c r="P2417" s="211"/>
      <c r="Q2417" s="261"/>
      <c r="R2417" s="208" t="str">
        <f ca="1">IF(ISERROR($V2417),"",OFFSET('Smelter Look-up'!$C$4,$V2417-4,0)&amp;"")</f>
        <v/>
      </c>
      <c r="S2417" s="215" t="str">
        <f t="shared" ca="1" si="339"/>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si="340"/>
        <v>0</v>
      </c>
      <c r="Y2417" s="263"/>
      <c r="Z2417" s="263"/>
      <c r="AB2417" s="265" t="str">
        <f t="shared" si="341"/>
        <v/>
      </c>
    </row>
    <row r="2418" spans="1:28" s="264" customFormat="1" ht="20.399999999999999">
      <c r="A2418" s="207"/>
      <c r="B2418" s="208"/>
      <c r="C2418" s="212"/>
      <c r="D2418" s="270"/>
      <c r="E2418" s="208"/>
      <c r="F2418" s="208"/>
      <c r="G2418" s="208"/>
      <c r="H2418" s="209"/>
      <c r="I2418" s="210"/>
      <c r="J2418" s="210"/>
      <c r="K2418" s="260"/>
      <c r="L2418" s="260"/>
      <c r="M2418" s="260"/>
      <c r="N2418" s="260"/>
      <c r="O2418" s="260"/>
      <c r="P2418" s="211"/>
      <c r="Q2418" s="261"/>
      <c r="R2418" s="208" t="str">
        <f ca="1">IF(ISERROR($V2418),"",OFFSET('Smelter Look-up'!$C$4,$V2418-4,0)&amp;"")</f>
        <v/>
      </c>
      <c r="S2418" s="215" t="str">
        <f t="shared" ca="1" si="339"/>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si="340"/>
        <v>0</v>
      </c>
      <c r="Y2418" s="263"/>
      <c r="Z2418" s="263"/>
      <c r="AB2418" s="265" t="str">
        <f t="shared" si="341"/>
        <v/>
      </c>
    </row>
    <row r="2419" spans="1:28" s="264" customFormat="1" ht="20.399999999999999">
      <c r="A2419" s="207"/>
      <c r="B2419" s="208"/>
      <c r="C2419" s="212"/>
      <c r="D2419" s="270"/>
      <c r="E2419" s="208"/>
      <c r="F2419" s="208"/>
      <c r="G2419" s="208"/>
      <c r="H2419" s="209"/>
      <c r="I2419" s="210"/>
      <c r="J2419" s="210"/>
      <c r="K2419" s="260"/>
      <c r="L2419" s="260"/>
      <c r="M2419" s="260"/>
      <c r="N2419" s="260"/>
      <c r="O2419" s="260"/>
      <c r="P2419" s="211"/>
      <c r="Q2419" s="261"/>
      <c r="R2419" s="208" t="str">
        <f ca="1">IF(ISERROR($V2419),"",OFFSET('Smelter Look-up'!$C$4,$V2419-4,0)&amp;"")</f>
        <v/>
      </c>
      <c r="S2419" s="215" t="str">
        <f t="shared" ca="1" si="339"/>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si="340"/>
        <v>0</v>
      </c>
      <c r="Y2419" s="263"/>
      <c r="Z2419" s="263"/>
      <c r="AB2419" s="265" t="str">
        <f t="shared" si="341"/>
        <v/>
      </c>
    </row>
    <row r="2420" spans="1:28" s="264" customFormat="1" ht="20.399999999999999">
      <c r="A2420" s="207"/>
      <c r="B2420" s="208"/>
      <c r="C2420" s="212"/>
      <c r="D2420" s="270"/>
      <c r="E2420" s="208"/>
      <c r="F2420" s="208"/>
      <c r="G2420" s="208"/>
      <c r="H2420" s="209"/>
      <c r="I2420" s="210"/>
      <c r="J2420" s="210"/>
      <c r="K2420" s="260"/>
      <c r="L2420" s="260"/>
      <c r="M2420" s="260"/>
      <c r="N2420" s="260"/>
      <c r="O2420" s="260"/>
      <c r="P2420" s="211"/>
      <c r="Q2420" s="261"/>
      <c r="R2420" s="208" t="str">
        <f ca="1">IF(ISERROR($V2420),"",OFFSET('Smelter Look-up'!$C$4,$V2420-4,0)&amp;"")</f>
        <v/>
      </c>
      <c r="S2420" s="215" t="str">
        <f t="shared" ca="1" si="339"/>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si="340"/>
        <v>0</v>
      </c>
      <c r="Y2420" s="263"/>
      <c r="Z2420" s="263"/>
      <c r="AB2420" s="265" t="str">
        <f t="shared" si="341"/>
        <v/>
      </c>
    </row>
    <row r="2421" spans="1:28" s="264" customFormat="1" ht="20.399999999999999">
      <c r="A2421" s="207"/>
      <c r="B2421" s="208"/>
      <c r="C2421" s="212"/>
      <c r="D2421" s="270"/>
      <c r="E2421" s="208"/>
      <c r="F2421" s="208"/>
      <c r="G2421" s="208"/>
      <c r="H2421" s="209"/>
      <c r="I2421" s="210"/>
      <c r="J2421" s="210"/>
      <c r="K2421" s="260"/>
      <c r="L2421" s="260"/>
      <c r="M2421" s="260"/>
      <c r="N2421" s="260"/>
      <c r="O2421" s="260"/>
      <c r="P2421" s="211"/>
      <c r="Q2421" s="261"/>
      <c r="R2421" s="208" t="str">
        <f ca="1">IF(ISERROR($V2421),"",OFFSET('Smelter Look-up'!$C$4,$V2421-4,0)&amp;"")</f>
        <v/>
      </c>
      <c r="S2421" s="215" t="str">
        <f t="shared" ca="1" si="339"/>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si="340"/>
        <v>0</v>
      </c>
      <c r="Y2421" s="263"/>
      <c r="Z2421" s="263"/>
      <c r="AB2421" s="265" t="str">
        <f t="shared" si="341"/>
        <v/>
      </c>
    </row>
    <row r="2422" spans="1:28" s="264" customFormat="1" ht="20.399999999999999">
      <c r="A2422" s="207"/>
      <c r="B2422" s="208"/>
      <c r="C2422" s="212"/>
      <c r="D2422" s="270"/>
      <c r="E2422" s="208"/>
      <c r="F2422" s="208"/>
      <c r="G2422" s="208"/>
      <c r="H2422" s="209"/>
      <c r="I2422" s="210"/>
      <c r="J2422" s="210"/>
      <c r="K2422" s="260"/>
      <c r="L2422" s="260"/>
      <c r="M2422" s="260"/>
      <c r="N2422" s="260"/>
      <c r="O2422" s="260"/>
      <c r="P2422" s="211"/>
      <c r="Q2422" s="261"/>
      <c r="R2422" s="208" t="str">
        <f ca="1">IF(ISERROR($V2422),"",OFFSET('Smelter Look-up'!$C$4,$V2422-4,0)&amp;"")</f>
        <v/>
      </c>
      <c r="S2422" s="215" t="str">
        <f t="shared" ca="1" si="339"/>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si="340"/>
        <v>0</v>
      </c>
      <c r="Y2422" s="263"/>
      <c r="Z2422" s="263"/>
      <c r="AB2422" s="265" t="str">
        <f t="shared" si="341"/>
        <v/>
      </c>
    </row>
    <row r="2423" spans="1:28" s="264" customFormat="1" ht="20.399999999999999">
      <c r="A2423" s="207"/>
      <c r="B2423" s="208"/>
      <c r="C2423" s="212"/>
      <c r="D2423" s="270"/>
      <c r="E2423" s="208"/>
      <c r="F2423" s="208"/>
      <c r="G2423" s="208"/>
      <c r="H2423" s="209"/>
      <c r="I2423" s="210"/>
      <c r="J2423" s="210"/>
      <c r="K2423" s="260"/>
      <c r="L2423" s="260"/>
      <c r="M2423" s="260"/>
      <c r="N2423" s="260"/>
      <c r="O2423" s="260"/>
      <c r="P2423" s="211"/>
      <c r="Q2423" s="261"/>
      <c r="R2423" s="208" t="str">
        <f ca="1">IF(ISERROR($V2423),"",OFFSET('Smelter Look-up'!$C$4,$V2423-4,0)&amp;"")</f>
        <v/>
      </c>
      <c r="S2423" s="215" t="str">
        <f t="shared" ca="1" si="339"/>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si="340"/>
        <v>0</v>
      </c>
      <c r="Y2423" s="263"/>
      <c r="Z2423" s="263"/>
      <c r="AB2423" s="265" t="str">
        <f t="shared" si="341"/>
        <v/>
      </c>
    </row>
    <row r="2424" spans="1:28" s="264" customFormat="1" ht="20.399999999999999">
      <c r="A2424" s="207"/>
      <c r="B2424" s="208"/>
      <c r="C2424" s="212"/>
      <c r="D2424" s="270"/>
      <c r="E2424" s="208"/>
      <c r="F2424" s="208"/>
      <c r="G2424" s="208"/>
      <c r="H2424" s="209"/>
      <c r="I2424" s="210"/>
      <c r="J2424" s="210"/>
      <c r="K2424" s="260"/>
      <c r="L2424" s="260"/>
      <c r="M2424" s="260"/>
      <c r="N2424" s="260"/>
      <c r="O2424" s="260"/>
      <c r="P2424" s="211"/>
      <c r="Q2424" s="261"/>
      <c r="R2424" s="208" t="str">
        <f ca="1">IF(ISERROR($V2424),"",OFFSET('Smelter Look-up'!$C$4,$V2424-4,0)&amp;"")</f>
        <v/>
      </c>
      <c r="S2424" s="215" t="str">
        <f t="shared" ca="1" si="339"/>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si="340"/>
        <v>0</v>
      </c>
      <c r="Y2424" s="263"/>
      <c r="Z2424" s="263"/>
      <c r="AB2424" s="265" t="str">
        <f t="shared" si="341"/>
        <v/>
      </c>
    </row>
    <row r="2425" spans="1:28" s="264" customFormat="1" ht="20.399999999999999">
      <c r="A2425" s="207"/>
      <c r="B2425" s="208"/>
      <c r="C2425" s="212"/>
      <c r="D2425" s="270"/>
      <c r="E2425" s="208"/>
      <c r="F2425" s="208"/>
      <c r="G2425" s="208"/>
      <c r="H2425" s="209"/>
      <c r="I2425" s="210"/>
      <c r="J2425" s="210"/>
      <c r="K2425" s="260"/>
      <c r="L2425" s="260"/>
      <c r="M2425" s="260"/>
      <c r="N2425" s="260"/>
      <c r="O2425" s="260"/>
      <c r="P2425" s="211"/>
      <c r="Q2425" s="261"/>
      <c r="R2425" s="208" t="str">
        <f ca="1">IF(ISERROR($V2425),"",OFFSET('Smelter Look-up'!$C$4,$V2425-4,0)&amp;"")</f>
        <v/>
      </c>
      <c r="S2425" s="215" t="str">
        <f t="shared" ca="1" si="339"/>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si="340"/>
        <v>0</v>
      </c>
      <c r="Y2425" s="263"/>
      <c r="Z2425" s="263"/>
      <c r="AB2425" s="265" t="str">
        <f t="shared" si="341"/>
        <v/>
      </c>
    </row>
    <row r="2426" spans="1:28" s="264" customFormat="1" ht="20.399999999999999">
      <c r="A2426" s="207"/>
      <c r="B2426" s="208"/>
      <c r="C2426" s="212"/>
      <c r="D2426" s="270"/>
      <c r="E2426" s="208"/>
      <c r="F2426" s="208"/>
      <c r="G2426" s="208"/>
      <c r="H2426" s="209"/>
      <c r="I2426" s="210"/>
      <c r="J2426" s="210"/>
      <c r="K2426" s="260"/>
      <c r="L2426" s="260"/>
      <c r="M2426" s="260"/>
      <c r="N2426" s="260"/>
      <c r="O2426" s="260"/>
      <c r="P2426" s="211"/>
      <c r="Q2426" s="261"/>
      <c r="R2426" s="208" t="str">
        <f ca="1">IF(ISERROR($V2426),"",OFFSET('Smelter Look-up'!$C$4,$V2426-4,0)&amp;"")</f>
        <v/>
      </c>
      <c r="S2426" s="215" t="str">
        <f t="shared" ca="1" si="339"/>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si="340"/>
        <v>0</v>
      </c>
      <c r="Y2426" s="263"/>
      <c r="Z2426" s="263"/>
      <c r="AB2426" s="265" t="str">
        <f t="shared" si="341"/>
        <v/>
      </c>
    </row>
    <row r="2427" spans="1:28" s="264" customFormat="1" ht="20.399999999999999">
      <c r="A2427" s="207"/>
      <c r="B2427" s="208"/>
      <c r="C2427" s="212"/>
      <c r="D2427" s="270"/>
      <c r="E2427" s="208"/>
      <c r="F2427" s="208"/>
      <c r="G2427" s="208"/>
      <c r="H2427" s="209"/>
      <c r="I2427" s="210"/>
      <c r="J2427" s="210"/>
      <c r="K2427" s="260"/>
      <c r="L2427" s="260"/>
      <c r="M2427" s="260"/>
      <c r="N2427" s="260"/>
      <c r="O2427" s="260"/>
      <c r="P2427" s="211"/>
      <c r="Q2427" s="261"/>
      <c r="R2427" s="208" t="str">
        <f ca="1">IF(ISERROR($V2427),"",OFFSET('Smelter Look-up'!$C$4,$V2427-4,0)&amp;"")</f>
        <v/>
      </c>
      <c r="S2427" s="215" t="str">
        <f t="shared" ref="S2427" ca="1" si="342">IF(B2427="","",IF(ISERROR(MATCH($E2427,CL,0)),"Unknown",INDIRECT("'C'!$A$"&amp;MATCH($E2427,CL,0)+1)))</f>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t="shared" ref="X2427" si="343">IF(AND(C2427="Smelter not listed",OR(LEN(D2427)=0,LEN(E2427)=0)),1,0)</f>
        <v>0</v>
      </c>
      <c r="Y2427" s="263"/>
      <c r="Z2427" s="263"/>
      <c r="AB2427" s="265" t="str">
        <f t="shared" ref="AB2427" si="344">B2427&amp;C2427</f>
        <v/>
      </c>
    </row>
    <row r="2428" spans="1:28" s="264" customFormat="1" ht="20.399999999999999">
      <c r="A2428" s="207"/>
      <c r="B2428" s="208"/>
      <c r="C2428" s="212"/>
      <c r="D2428" s="270"/>
      <c r="E2428" s="208"/>
      <c r="F2428" s="208"/>
      <c r="G2428" s="208"/>
      <c r="H2428" s="209"/>
      <c r="I2428" s="210"/>
      <c r="J2428" s="210"/>
      <c r="K2428" s="260"/>
      <c r="L2428" s="260"/>
      <c r="M2428" s="260"/>
      <c r="N2428" s="260"/>
      <c r="O2428" s="260"/>
      <c r="P2428" s="211"/>
      <c r="Q2428" s="261"/>
      <c r="R2428" s="208" t="str">
        <f ca="1">IF(ISERROR($V2428),"",OFFSET('Smelter Look-up'!$C$4,$V2428-4,0)&amp;"")</f>
        <v/>
      </c>
      <c r="S2428" s="215" t="str">
        <f t="shared" ref="S2428:S2459" ca="1" si="345">IF(B2428="","",IF(ISERROR(MATCH($E2428,CL,0)),"Unknown",INDIRECT("'C'!$A$"&amp;MATCH($E2428,CL,0)+1)))</f>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ref="X2428:X2459" si="346">IF(AND(C2428="Smelter not listed",OR(LEN(D2428)=0,LEN(E2428)=0)),1,0)</f>
        <v>0</v>
      </c>
      <c r="Y2428" s="263"/>
      <c r="Z2428" s="263"/>
      <c r="AB2428" s="265" t="str">
        <f t="shared" ref="AB2428:AB2459" si="347">B2428&amp;C2428</f>
        <v/>
      </c>
    </row>
    <row r="2429" spans="1:28" s="264" customFormat="1" ht="20.399999999999999">
      <c r="A2429" s="207"/>
      <c r="B2429" s="208"/>
      <c r="C2429" s="212"/>
      <c r="D2429" s="270"/>
      <c r="E2429" s="208"/>
      <c r="F2429" s="208"/>
      <c r="G2429" s="208"/>
      <c r="H2429" s="209"/>
      <c r="I2429" s="210"/>
      <c r="J2429" s="210"/>
      <c r="K2429" s="260"/>
      <c r="L2429" s="260"/>
      <c r="M2429" s="260"/>
      <c r="N2429" s="260"/>
      <c r="O2429" s="260"/>
      <c r="P2429" s="211"/>
      <c r="Q2429" s="261"/>
      <c r="R2429" s="208" t="str">
        <f ca="1">IF(ISERROR($V2429),"",OFFSET('Smelter Look-up'!$C$4,$V2429-4,0)&amp;"")</f>
        <v/>
      </c>
      <c r="S2429" s="215" t="str">
        <f t="shared" ca="1" si="345"/>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si="346"/>
        <v>0</v>
      </c>
      <c r="Y2429" s="263"/>
      <c r="Z2429" s="263"/>
      <c r="AB2429" s="265" t="str">
        <f t="shared" si="347"/>
        <v/>
      </c>
    </row>
    <row r="2430" spans="1:28" s="264" customFormat="1" ht="20.399999999999999">
      <c r="A2430" s="207"/>
      <c r="B2430" s="208"/>
      <c r="C2430" s="212"/>
      <c r="D2430" s="270"/>
      <c r="E2430" s="208"/>
      <c r="F2430" s="208"/>
      <c r="G2430" s="208"/>
      <c r="H2430" s="209"/>
      <c r="I2430" s="210"/>
      <c r="J2430" s="210"/>
      <c r="K2430" s="260"/>
      <c r="L2430" s="260"/>
      <c r="M2430" s="260"/>
      <c r="N2430" s="260"/>
      <c r="O2430" s="260"/>
      <c r="P2430" s="211"/>
      <c r="Q2430" s="261"/>
      <c r="R2430" s="208" t="str">
        <f ca="1">IF(ISERROR($V2430),"",OFFSET('Smelter Look-up'!$C$4,$V2430-4,0)&amp;"")</f>
        <v/>
      </c>
      <c r="S2430" s="215" t="str">
        <f t="shared" ca="1" si="345"/>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si="346"/>
        <v>0</v>
      </c>
      <c r="Y2430" s="263"/>
      <c r="Z2430" s="263"/>
      <c r="AB2430" s="265" t="str">
        <f t="shared" si="347"/>
        <v/>
      </c>
    </row>
    <row r="2431" spans="1:28" s="264" customFormat="1" ht="20.399999999999999">
      <c r="A2431" s="207"/>
      <c r="B2431" s="208"/>
      <c r="C2431" s="212"/>
      <c r="D2431" s="270"/>
      <c r="E2431" s="208"/>
      <c r="F2431" s="208"/>
      <c r="G2431" s="208"/>
      <c r="H2431" s="209"/>
      <c r="I2431" s="210"/>
      <c r="J2431" s="210"/>
      <c r="K2431" s="260"/>
      <c r="L2431" s="260"/>
      <c r="M2431" s="260"/>
      <c r="N2431" s="260"/>
      <c r="O2431" s="260"/>
      <c r="P2431" s="211"/>
      <c r="Q2431" s="261"/>
      <c r="R2431" s="208" t="str">
        <f ca="1">IF(ISERROR($V2431),"",OFFSET('Smelter Look-up'!$C$4,$V2431-4,0)&amp;"")</f>
        <v/>
      </c>
      <c r="S2431" s="215" t="str">
        <f t="shared" ca="1" si="345"/>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si="346"/>
        <v>0</v>
      </c>
      <c r="Y2431" s="263"/>
      <c r="Z2431" s="263"/>
      <c r="AB2431" s="265" t="str">
        <f t="shared" si="347"/>
        <v/>
      </c>
    </row>
    <row r="2432" spans="1:28" s="264" customFormat="1" ht="20.399999999999999">
      <c r="A2432" s="207"/>
      <c r="B2432" s="208"/>
      <c r="C2432" s="212"/>
      <c r="D2432" s="270"/>
      <c r="E2432" s="208"/>
      <c r="F2432" s="208"/>
      <c r="G2432" s="208"/>
      <c r="H2432" s="209"/>
      <c r="I2432" s="210"/>
      <c r="J2432" s="210"/>
      <c r="K2432" s="260"/>
      <c r="L2432" s="260"/>
      <c r="M2432" s="260"/>
      <c r="N2432" s="260"/>
      <c r="O2432" s="260"/>
      <c r="P2432" s="211"/>
      <c r="Q2432" s="261"/>
      <c r="R2432" s="208" t="str">
        <f ca="1">IF(ISERROR($V2432),"",OFFSET('Smelter Look-up'!$C$4,$V2432-4,0)&amp;"")</f>
        <v/>
      </c>
      <c r="S2432" s="215" t="str">
        <f t="shared" ca="1" si="345"/>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si="346"/>
        <v>0</v>
      </c>
      <c r="Y2432" s="263"/>
      <c r="Z2432" s="263"/>
      <c r="AB2432" s="265" t="str">
        <f t="shared" si="347"/>
        <v/>
      </c>
    </row>
    <row r="2433" spans="1:28" s="264" customFormat="1" ht="20.399999999999999">
      <c r="A2433" s="207"/>
      <c r="B2433" s="208"/>
      <c r="C2433" s="212"/>
      <c r="D2433" s="270"/>
      <c r="E2433" s="208"/>
      <c r="F2433" s="208"/>
      <c r="G2433" s="208"/>
      <c r="H2433" s="209"/>
      <c r="I2433" s="210"/>
      <c r="J2433" s="210"/>
      <c r="K2433" s="260"/>
      <c r="L2433" s="260"/>
      <c r="M2433" s="260"/>
      <c r="N2433" s="260"/>
      <c r="O2433" s="260"/>
      <c r="P2433" s="211"/>
      <c r="Q2433" s="261"/>
      <c r="R2433" s="208" t="str">
        <f ca="1">IF(ISERROR($V2433),"",OFFSET('Smelter Look-up'!$C$4,$V2433-4,0)&amp;"")</f>
        <v/>
      </c>
      <c r="S2433" s="215" t="str">
        <f t="shared" ca="1" si="345"/>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si="346"/>
        <v>0</v>
      </c>
      <c r="Y2433" s="263"/>
      <c r="Z2433" s="263"/>
      <c r="AB2433" s="265" t="str">
        <f t="shared" si="347"/>
        <v/>
      </c>
    </row>
    <row r="2434" spans="1:28" s="264" customFormat="1" ht="20.399999999999999">
      <c r="A2434" s="207"/>
      <c r="B2434" s="208"/>
      <c r="C2434" s="212"/>
      <c r="D2434" s="270"/>
      <c r="E2434" s="208"/>
      <c r="F2434" s="208"/>
      <c r="G2434" s="208"/>
      <c r="H2434" s="209"/>
      <c r="I2434" s="210"/>
      <c r="J2434" s="210"/>
      <c r="K2434" s="260"/>
      <c r="L2434" s="260"/>
      <c r="M2434" s="260"/>
      <c r="N2434" s="260"/>
      <c r="O2434" s="260"/>
      <c r="P2434" s="211"/>
      <c r="Q2434" s="261"/>
      <c r="R2434" s="208" t="str">
        <f ca="1">IF(ISERROR($V2434),"",OFFSET('Smelter Look-up'!$C$4,$V2434-4,0)&amp;"")</f>
        <v/>
      </c>
      <c r="S2434" s="215" t="str">
        <f t="shared" ca="1" si="345"/>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si="346"/>
        <v>0</v>
      </c>
      <c r="Y2434" s="263"/>
      <c r="Z2434" s="263"/>
      <c r="AB2434" s="265" t="str">
        <f t="shared" si="347"/>
        <v/>
      </c>
    </row>
    <row r="2435" spans="1:28" s="264" customFormat="1" ht="20.399999999999999">
      <c r="A2435" s="207"/>
      <c r="B2435" s="208"/>
      <c r="C2435" s="212"/>
      <c r="D2435" s="270"/>
      <c r="E2435" s="208"/>
      <c r="F2435" s="208"/>
      <c r="G2435" s="208"/>
      <c r="H2435" s="209"/>
      <c r="I2435" s="210"/>
      <c r="J2435" s="210"/>
      <c r="K2435" s="260"/>
      <c r="L2435" s="260"/>
      <c r="M2435" s="260"/>
      <c r="N2435" s="260"/>
      <c r="O2435" s="260"/>
      <c r="P2435" s="211"/>
      <c r="Q2435" s="261"/>
      <c r="R2435" s="208" t="str">
        <f ca="1">IF(ISERROR($V2435),"",OFFSET('Smelter Look-up'!$C$4,$V2435-4,0)&amp;"")</f>
        <v/>
      </c>
      <c r="S2435" s="215" t="str">
        <f t="shared" ca="1" si="345"/>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si="346"/>
        <v>0</v>
      </c>
      <c r="Y2435" s="263"/>
      <c r="Z2435" s="263"/>
      <c r="AB2435" s="265" t="str">
        <f t="shared" si="347"/>
        <v/>
      </c>
    </row>
    <row r="2436" spans="1:28" s="264" customFormat="1" ht="20.399999999999999">
      <c r="A2436" s="207"/>
      <c r="B2436" s="208"/>
      <c r="C2436" s="212"/>
      <c r="D2436" s="270"/>
      <c r="E2436" s="208"/>
      <c r="F2436" s="208"/>
      <c r="G2436" s="208"/>
      <c r="H2436" s="209"/>
      <c r="I2436" s="210"/>
      <c r="J2436" s="210"/>
      <c r="K2436" s="260"/>
      <c r="L2436" s="260"/>
      <c r="M2436" s="260"/>
      <c r="N2436" s="260"/>
      <c r="O2436" s="260"/>
      <c r="P2436" s="211"/>
      <c r="Q2436" s="261"/>
      <c r="R2436" s="208" t="str">
        <f ca="1">IF(ISERROR($V2436),"",OFFSET('Smelter Look-up'!$C$4,$V2436-4,0)&amp;"")</f>
        <v/>
      </c>
      <c r="S2436" s="215" t="str">
        <f t="shared" ca="1" si="345"/>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si="346"/>
        <v>0</v>
      </c>
      <c r="Y2436" s="263"/>
      <c r="Z2436" s="263"/>
      <c r="AB2436" s="265" t="str">
        <f t="shared" si="347"/>
        <v/>
      </c>
    </row>
    <row r="2437" spans="1:28" s="264" customFormat="1" ht="20.399999999999999">
      <c r="A2437" s="207"/>
      <c r="B2437" s="208"/>
      <c r="C2437" s="212"/>
      <c r="D2437" s="270"/>
      <c r="E2437" s="208"/>
      <c r="F2437" s="208"/>
      <c r="G2437" s="208"/>
      <c r="H2437" s="209"/>
      <c r="I2437" s="210"/>
      <c r="J2437" s="210"/>
      <c r="K2437" s="260"/>
      <c r="L2437" s="260"/>
      <c r="M2437" s="260"/>
      <c r="N2437" s="260"/>
      <c r="O2437" s="260"/>
      <c r="P2437" s="211"/>
      <c r="Q2437" s="261"/>
      <c r="R2437" s="208" t="str">
        <f ca="1">IF(ISERROR($V2437),"",OFFSET('Smelter Look-up'!$C$4,$V2437-4,0)&amp;"")</f>
        <v/>
      </c>
      <c r="S2437" s="215" t="str">
        <f t="shared" ca="1" si="345"/>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si="346"/>
        <v>0</v>
      </c>
      <c r="Y2437" s="263"/>
      <c r="Z2437" s="263"/>
      <c r="AB2437" s="265" t="str">
        <f t="shared" si="347"/>
        <v/>
      </c>
    </row>
    <row r="2438" spans="1:28" s="264" customFormat="1" ht="20.399999999999999">
      <c r="A2438" s="207"/>
      <c r="B2438" s="208"/>
      <c r="C2438" s="212"/>
      <c r="D2438" s="270"/>
      <c r="E2438" s="208"/>
      <c r="F2438" s="208"/>
      <c r="G2438" s="208"/>
      <c r="H2438" s="209"/>
      <c r="I2438" s="210"/>
      <c r="J2438" s="210"/>
      <c r="K2438" s="260"/>
      <c r="L2438" s="260"/>
      <c r="M2438" s="260"/>
      <c r="N2438" s="260"/>
      <c r="O2438" s="260"/>
      <c r="P2438" s="211"/>
      <c r="Q2438" s="261"/>
      <c r="R2438" s="208" t="str">
        <f ca="1">IF(ISERROR($V2438),"",OFFSET('Smelter Look-up'!$C$4,$V2438-4,0)&amp;"")</f>
        <v/>
      </c>
      <c r="S2438" s="215" t="str">
        <f t="shared" ca="1" si="345"/>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si="346"/>
        <v>0</v>
      </c>
      <c r="Y2438" s="263"/>
      <c r="Z2438" s="263"/>
      <c r="AB2438" s="265" t="str">
        <f t="shared" si="347"/>
        <v/>
      </c>
    </row>
    <row r="2439" spans="1:28" s="264" customFormat="1" ht="20.399999999999999">
      <c r="A2439" s="207"/>
      <c r="B2439" s="208"/>
      <c r="C2439" s="212"/>
      <c r="D2439" s="270"/>
      <c r="E2439" s="208"/>
      <c r="F2439" s="208"/>
      <c r="G2439" s="208"/>
      <c r="H2439" s="209"/>
      <c r="I2439" s="210"/>
      <c r="J2439" s="210"/>
      <c r="K2439" s="260"/>
      <c r="L2439" s="260"/>
      <c r="M2439" s="260"/>
      <c r="N2439" s="260"/>
      <c r="O2439" s="260"/>
      <c r="P2439" s="211"/>
      <c r="Q2439" s="261"/>
      <c r="R2439" s="208" t="str">
        <f ca="1">IF(ISERROR($V2439),"",OFFSET('Smelter Look-up'!$C$4,$V2439-4,0)&amp;"")</f>
        <v/>
      </c>
      <c r="S2439" s="215" t="str">
        <f t="shared" ca="1" si="345"/>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si="346"/>
        <v>0</v>
      </c>
      <c r="Y2439" s="263"/>
      <c r="Z2439" s="263"/>
      <c r="AB2439" s="265" t="str">
        <f t="shared" si="347"/>
        <v/>
      </c>
    </row>
    <row r="2440" spans="1:28" s="264" customFormat="1" ht="20.399999999999999">
      <c r="A2440" s="207"/>
      <c r="B2440" s="208"/>
      <c r="C2440" s="212"/>
      <c r="D2440" s="270"/>
      <c r="E2440" s="208"/>
      <c r="F2440" s="208"/>
      <c r="G2440" s="208"/>
      <c r="H2440" s="209"/>
      <c r="I2440" s="210"/>
      <c r="J2440" s="210"/>
      <c r="K2440" s="260"/>
      <c r="L2440" s="260"/>
      <c r="M2440" s="260"/>
      <c r="N2440" s="260"/>
      <c r="O2440" s="260"/>
      <c r="P2440" s="211"/>
      <c r="Q2440" s="261"/>
      <c r="R2440" s="208" t="str">
        <f ca="1">IF(ISERROR($V2440),"",OFFSET('Smelter Look-up'!$C$4,$V2440-4,0)&amp;"")</f>
        <v/>
      </c>
      <c r="S2440" s="215" t="str">
        <f t="shared" ca="1" si="345"/>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si="346"/>
        <v>0</v>
      </c>
      <c r="Y2440" s="263"/>
      <c r="Z2440" s="263"/>
      <c r="AB2440" s="265" t="str">
        <f t="shared" si="347"/>
        <v/>
      </c>
    </row>
    <row r="2441" spans="1:28" s="264" customFormat="1" ht="20.399999999999999">
      <c r="A2441" s="207"/>
      <c r="B2441" s="208"/>
      <c r="C2441" s="212"/>
      <c r="D2441" s="270"/>
      <c r="E2441" s="208"/>
      <c r="F2441" s="208"/>
      <c r="G2441" s="208"/>
      <c r="H2441" s="209"/>
      <c r="I2441" s="210"/>
      <c r="J2441" s="210"/>
      <c r="K2441" s="260"/>
      <c r="L2441" s="260"/>
      <c r="M2441" s="260"/>
      <c r="N2441" s="260"/>
      <c r="O2441" s="260"/>
      <c r="P2441" s="211"/>
      <c r="Q2441" s="261"/>
      <c r="R2441" s="208" t="str">
        <f ca="1">IF(ISERROR($V2441),"",OFFSET('Smelter Look-up'!$C$4,$V2441-4,0)&amp;"")</f>
        <v/>
      </c>
      <c r="S2441" s="215" t="str">
        <f t="shared" ca="1" si="345"/>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si="346"/>
        <v>0</v>
      </c>
      <c r="Y2441" s="263"/>
      <c r="Z2441" s="263"/>
      <c r="AB2441" s="265" t="str">
        <f t="shared" si="347"/>
        <v/>
      </c>
    </row>
    <row r="2442" spans="1:28" s="264" customFormat="1" ht="20.399999999999999">
      <c r="A2442" s="207"/>
      <c r="B2442" s="208"/>
      <c r="C2442" s="212"/>
      <c r="D2442" s="270"/>
      <c r="E2442" s="208"/>
      <c r="F2442" s="208"/>
      <c r="G2442" s="208"/>
      <c r="H2442" s="209"/>
      <c r="I2442" s="210"/>
      <c r="J2442" s="210"/>
      <c r="K2442" s="260"/>
      <c r="L2442" s="260"/>
      <c r="M2442" s="260"/>
      <c r="N2442" s="260"/>
      <c r="O2442" s="260"/>
      <c r="P2442" s="211"/>
      <c r="Q2442" s="261"/>
      <c r="R2442" s="208" t="str">
        <f ca="1">IF(ISERROR($V2442),"",OFFSET('Smelter Look-up'!$C$4,$V2442-4,0)&amp;"")</f>
        <v/>
      </c>
      <c r="S2442" s="215" t="str">
        <f t="shared" ca="1" si="345"/>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si="346"/>
        <v>0</v>
      </c>
      <c r="Y2442" s="263"/>
      <c r="Z2442" s="263"/>
      <c r="AB2442" s="265" t="str">
        <f t="shared" si="347"/>
        <v/>
      </c>
    </row>
    <row r="2443" spans="1:28" s="264" customFormat="1" ht="20.399999999999999">
      <c r="A2443" s="207"/>
      <c r="B2443" s="208"/>
      <c r="C2443" s="212"/>
      <c r="D2443" s="270"/>
      <c r="E2443" s="208"/>
      <c r="F2443" s="208"/>
      <c r="G2443" s="208"/>
      <c r="H2443" s="209"/>
      <c r="I2443" s="210"/>
      <c r="J2443" s="210"/>
      <c r="K2443" s="260"/>
      <c r="L2443" s="260"/>
      <c r="M2443" s="260"/>
      <c r="N2443" s="260"/>
      <c r="O2443" s="260"/>
      <c r="P2443" s="211"/>
      <c r="Q2443" s="261"/>
      <c r="R2443" s="208" t="str">
        <f ca="1">IF(ISERROR($V2443),"",OFFSET('Smelter Look-up'!$C$4,$V2443-4,0)&amp;"")</f>
        <v/>
      </c>
      <c r="S2443" s="215" t="str">
        <f t="shared" ca="1" si="345"/>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si="346"/>
        <v>0</v>
      </c>
      <c r="Y2443" s="263"/>
      <c r="Z2443" s="263"/>
      <c r="AB2443" s="265" t="str">
        <f t="shared" si="347"/>
        <v/>
      </c>
    </row>
    <row r="2444" spans="1:28" s="264" customFormat="1" ht="20.399999999999999">
      <c r="A2444" s="207"/>
      <c r="B2444" s="208"/>
      <c r="C2444" s="212"/>
      <c r="D2444" s="270"/>
      <c r="E2444" s="208"/>
      <c r="F2444" s="208"/>
      <c r="G2444" s="208"/>
      <c r="H2444" s="209"/>
      <c r="I2444" s="210"/>
      <c r="J2444" s="210"/>
      <c r="K2444" s="260"/>
      <c r="L2444" s="260"/>
      <c r="M2444" s="260"/>
      <c r="N2444" s="260"/>
      <c r="O2444" s="260"/>
      <c r="P2444" s="211"/>
      <c r="Q2444" s="261"/>
      <c r="R2444" s="208" t="str">
        <f ca="1">IF(ISERROR($V2444),"",OFFSET('Smelter Look-up'!$C$4,$V2444-4,0)&amp;"")</f>
        <v/>
      </c>
      <c r="S2444" s="215" t="str">
        <f t="shared" ca="1" si="345"/>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si="346"/>
        <v>0</v>
      </c>
      <c r="Y2444" s="263"/>
      <c r="Z2444" s="263"/>
      <c r="AB2444" s="265" t="str">
        <f t="shared" si="347"/>
        <v/>
      </c>
    </row>
    <row r="2445" spans="1:28" s="264" customFormat="1" ht="20.399999999999999">
      <c r="A2445" s="207"/>
      <c r="B2445" s="208"/>
      <c r="C2445" s="212"/>
      <c r="D2445" s="270"/>
      <c r="E2445" s="208"/>
      <c r="F2445" s="208"/>
      <c r="G2445" s="208"/>
      <c r="H2445" s="209"/>
      <c r="I2445" s="210"/>
      <c r="J2445" s="210"/>
      <c r="K2445" s="260"/>
      <c r="L2445" s="260"/>
      <c r="M2445" s="260"/>
      <c r="N2445" s="260"/>
      <c r="O2445" s="260"/>
      <c r="P2445" s="211"/>
      <c r="Q2445" s="261"/>
      <c r="R2445" s="208" t="str">
        <f ca="1">IF(ISERROR($V2445),"",OFFSET('Smelter Look-up'!$C$4,$V2445-4,0)&amp;"")</f>
        <v/>
      </c>
      <c r="S2445" s="215" t="str">
        <f t="shared" ca="1" si="345"/>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si="346"/>
        <v>0</v>
      </c>
      <c r="Y2445" s="263"/>
      <c r="Z2445" s="263"/>
      <c r="AB2445" s="265" t="str">
        <f t="shared" si="347"/>
        <v/>
      </c>
    </row>
    <row r="2446" spans="1:28" s="264" customFormat="1" ht="20.399999999999999">
      <c r="A2446" s="207"/>
      <c r="B2446" s="208"/>
      <c r="C2446" s="212"/>
      <c r="D2446" s="270"/>
      <c r="E2446" s="208"/>
      <c r="F2446" s="208"/>
      <c r="G2446" s="208"/>
      <c r="H2446" s="209"/>
      <c r="I2446" s="210"/>
      <c r="J2446" s="210"/>
      <c r="K2446" s="260"/>
      <c r="L2446" s="260"/>
      <c r="M2446" s="260"/>
      <c r="N2446" s="260"/>
      <c r="O2446" s="260"/>
      <c r="P2446" s="211"/>
      <c r="Q2446" s="261"/>
      <c r="R2446" s="208" t="str">
        <f ca="1">IF(ISERROR($V2446),"",OFFSET('Smelter Look-up'!$C$4,$V2446-4,0)&amp;"")</f>
        <v/>
      </c>
      <c r="S2446" s="215" t="str">
        <f t="shared" ca="1" si="345"/>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si="346"/>
        <v>0</v>
      </c>
      <c r="Y2446" s="263"/>
      <c r="Z2446" s="263"/>
      <c r="AB2446" s="265" t="str">
        <f t="shared" si="347"/>
        <v/>
      </c>
    </row>
    <row r="2447" spans="1:28" s="264" customFormat="1" ht="20.399999999999999">
      <c r="A2447" s="207"/>
      <c r="B2447" s="208"/>
      <c r="C2447" s="212"/>
      <c r="D2447" s="270"/>
      <c r="E2447" s="208"/>
      <c r="F2447" s="208"/>
      <c r="G2447" s="208"/>
      <c r="H2447" s="209"/>
      <c r="I2447" s="210"/>
      <c r="J2447" s="210"/>
      <c r="K2447" s="260"/>
      <c r="L2447" s="260"/>
      <c r="M2447" s="260"/>
      <c r="N2447" s="260"/>
      <c r="O2447" s="260"/>
      <c r="P2447" s="211"/>
      <c r="Q2447" s="261"/>
      <c r="R2447" s="208" t="str">
        <f ca="1">IF(ISERROR($V2447),"",OFFSET('Smelter Look-up'!$C$4,$V2447-4,0)&amp;"")</f>
        <v/>
      </c>
      <c r="S2447" s="215" t="str">
        <f t="shared" ca="1" si="345"/>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si="346"/>
        <v>0</v>
      </c>
      <c r="Y2447" s="263"/>
      <c r="Z2447" s="263"/>
      <c r="AB2447" s="265" t="str">
        <f t="shared" si="347"/>
        <v/>
      </c>
    </row>
    <row r="2448" spans="1:28" s="264" customFormat="1" ht="20.399999999999999">
      <c r="A2448" s="207"/>
      <c r="B2448" s="208"/>
      <c r="C2448" s="212"/>
      <c r="D2448" s="270"/>
      <c r="E2448" s="208"/>
      <c r="F2448" s="208"/>
      <c r="G2448" s="208"/>
      <c r="H2448" s="209"/>
      <c r="I2448" s="210"/>
      <c r="J2448" s="210"/>
      <c r="K2448" s="260"/>
      <c r="L2448" s="260"/>
      <c r="M2448" s="260"/>
      <c r="N2448" s="260"/>
      <c r="O2448" s="260"/>
      <c r="P2448" s="211"/>
      <c r="Q2448" s="261"/>
      <c r="R2448" s="208" t="str">
        <f ca="1">IF(ISERROR($V2448),"",OFFSET('Smelter Look-up'!$C$4,$V2448-4,0)&amp;"")</f>
        <v/>
      </c>
      <c r="S2448" s="215" t="str">
        <f t="shared" ca="1" si="345"/>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si="346"/>
        <v>0</v>
      </c>
      <c r="Y2448" s="263"/>
      <c r="Z2448" s="263"/>
      <c r="AB2448" s="265" t="str">
        <f t="shared" si="347"/>
        <v/>
      </c>
    </row>
    <row r="2449" spans="1:28" s="264" customFormat="1" ht="20.399999999999999">
      <c r="A2449" s="207"/>
      <c r="B2449" s="208"/>
      <c r="C2449" s="212"/>
      <c r="D2449" s="270"/>
      <c r="E2449" s="208"/>
      <c r="F2449" s="208"/>
      <c r="G2449" s="208"/>
      <c r="H2449" s="209"/>
      <c r="I2449" s="210"/>
      <c r="J2449" s="210"/>
      <c r="K2449" s="260"/>
      <c r="L2449" s="260"/>
      <c r="M2449" s="260"/>
      <c r="N2449" s="260"/>
      <c r="O2449" s="260"/>
      <c r="P2449" s="211"/>
      <c r="Q2449" s="261"/>
      <c r="R2449" s="208" t="str">
        <f ca="1">IF(ISERROR($V2449),"",OFFSET('Smelter Look-up'!$C$4,$V2449-4,0)&amp;"")</f>
        <v/>
      </c>
      <c r="S2449" s="215" t="str">
        <f t="shared" ca="1" si="345"/>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si="346"/>
        <v>0</v>
      </c>
      <c r="Y2449" s="263"/>
      <c r="Z2449" s="263"/>
      <c r="AB2449" s="265" t="str">
        <f t="shared" si="347"/>
        <v/>
      </c>
    </row>
    <row r="2450" spans="1:28" s="264" customFormat="1" ht="20.399999999999999">
      <c r="A2450" s="207"/>
      <c r="B2450" s="208"/>
      <c r="C2450" s="212"/>
      <c r="D2450" s="270"/>
      <c r="E2450" s="208"/>
      <c r="F2450" s="208"/>
      <c r="G2450" s="208"/>
      <c r="H2450" s="209"/>
      <c r="I2450" s="210"/>
      <c r="J2450" s="210"/>
      <c r="K2450" s="260"/>
      <c r="L2450" s="260"/>
      <c r="M2450" s="260"/>
      <c r="N2450" s="260"/>
      <c r="O2450" s="260"/>
      <c r="P2450" s="211"/>
      <c r="Q2450" s="261"/>
      <c r="R2450" s="208" t="str">
        <f ca="1">IF(ISERROR($V2450),"",OFFSET('Smelter Look-up'!$C$4,$V2450-4,0)&amp;"")</f>
        <v/>
      </c>
      <c r="S2450" s="215" t="str">
        <f t="shared" ca="1" si="345"/>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si="346"/>
        <v>0</v>
      </c>
      <c r="Y2450" s="263"/>
      <c r="Z2450" s="263"/>
      <c r="AB2450" s="265" t="str">
        <f t="shared" si="347"/>
        <v/>
      </c>
    </row>
    <row r="2451" spans="1:28" s="264" customFormat="1" ht="20.399999999999999">
      <c r="A2451" s="207"/>
      <c r="B2451" s="208"/>
      <c r="C2451" s="212"/>
      <c r="D2451" s="270"/>
      <c r="E2451" s="208"/>
      <c r="F2451" s="208"/>
      <c r="G2451" s="208"/>
      <c r="H2451" s="209"/>
      <c r="I2451" s="210"/>
      <c r="J2451" s="210"/>
      <c r="K2451" s="260"/>
      <c r="L2451" s="260"/>
      <c r="M2451" s="260"/>
      <c r="N2451" s="260"/>
      <c r="O2451" s="260"/>
      <c r="P2451" s="211"/>
      <c r="Q2451" s="261"/>
      <c r="R2451" s="208" t="str">
        <f ca="1">IF(ISERROR($V2451),"",OFFSET('Smelter Look-up'!$C$4,$V2451-4,0)&amp;"")</f>
        <v/>
      </c>
      <c r="S2451" s="215" t="str">
        <f t="shared" ca="1" si="345"/>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si="346"/>
        <v>0</v>
      </c>
      <c r="Y2451" s="263"/>
      <c r="Z2451" s="263"/>
      <c r="AB2451" s="265" t="str">
        <f t="shared" si="347"/>
        <v/>
      </c>
    </row>
    <row r="2452" spans="1:28" s="264" customFormat="1" ht="20.399999999999999">
      <c r="A2452" s="207"/>
      <c r="B2452" s="208"/>
      <c r="C2452" s="212"/>
      <c r="D2452" s="270"/>
      <c r="E2452" s="208"/>
      <c r="F2452" s="208"/>
      <c r="G2452" s="208"/>
      <c r="H2452" s="209"/>
      <c r="I2452" s="210"/>
      <c r="J2452" s="210"/>
      <c r="K2452" s="260"/>
      <c r="L2452" s="260"/>
      <c r="M2452" s="260"/>
      <c r="N2452" s="260"/>
      <c r="O2452" s="260"/>
      <c r="P2452" s="211"/>
      <c r="Q2452" s="261"/>
      <c r="R2452" s="208" t="str">
        <f ca="1">IF(ISERROR($V2452),"",OFFSET('Smelter Look-up'!$C$4,$V2452-4,0)&amp;"")</f>
        <v/>
      </c>
      <c r="S2452" s="215" t="str">
        <f t="shared" ca="1" si="345"/>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si="346"/>
        <v>0</v>
      </c>
      <c r="Y2452" s="263"/>
      <c r="Z2452" s="263"/>
      <c r="AB2452" s="265" t="str">
        <f t="shared" si="347"/>
        <v/>
      </c>
    </row>
    <row r="2453" spans="1:28" s="264" customFormat="1" ht="20.399999999999999">
      <c r="A2453" s="207"/>
      <c r="B2453" s="208"/>
      <c r="C2453" s="212"/>
      <c r="D2453" s="270"/>
      <c r="E2453" s="208"/>
      <c r="F2453" s="208"/>
      <c r="G2453" s="208"/>
      <c r="H2453" s="209"/>
      <c r="I2453" s="210"/>
      <c r="J2453" s="210"/>
      <c r="K2453" s="260"/>
      <c r="L2453" s="260"/>
      <c r="M2453" s="260"/>
      <c r="N2453" s="260"/>
      <c r="O2453" s="260"/>
      <c r="P2453" s="211"/>
      <c r="Q2453" s="261"/>
      <c r="R2453" s="208" t="str">
        <f ca="1">IF(ISERROR($V2453),"",OFFSET('Smelter Look-up'!$C$4,$V2453-4,0)&amp;"")</f>
        <v/>
      </c>
      <c r="S2453" s="215" t="str">
        <f t="shared" ca="1" si="345"/>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si="346"/>
        <v>0</v>
      </c>
      <c r="Y2453" s="263"/>
      <c r="Z2453" s="263"/>
      <c r="AB2453" s="265" t="str">
        <f t="shared" si="347"/>
        <v/>
      </c>
    </row>
    <row r="2454" spans="1:28" s="264" customFormat="1" ht="20.399999999999999">
      <c r="A2454" s="207"/>
      <c r="B2454" s="208"/>
      <c r="C2454" s="212"/>
      <c r="D2454" s="270"/>
      <c r="E2454" s="208"/>
      <c r="F2454" s="208"/>
      <c r="G2454" s="208"/>
      <c r="H2454" s="209"/>
      <c r="I2454" s="210"/>
      <c r="J2454" s="210"/>
      <c r="K2454" s="260"/>
      <c r="L2454" s="260"/>
      <c r="M2454" s="260"/>
      <c r="N2454" s="260"/>
      <c r="O2454" s="260"/>
      <c r="P2454" s="211"/>
      <c r="Q2454" s="261"/>
      <c r="R2454" s="208" t="str">
        <f ca="1">IF(ISERROR($V2454),"",OFFSET('Smelter Look-up'!$C$4,$V2454-4,0)&amp;"")</f>
        <v/>
      </c>
      <c r="S2454" s="215" t="str">
        <f t="shared" ca="1" si="345"/>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si="346"/>
        <v>0</v>
      </c>
      <c r="Y2454" s="263"/>
      <c r="Z2454" s="263"/>
      <c r="AB2454" s="265" t="str">
        <f t="shared" si="347"/>
        <v/>
      </c>
    </row>
    <row r="2455" spans="1:28" s="264" customFormat="1" ht="20.399999999999999">
      <c r="A2455" s="207"/>
      <c r="B2455" s="208"/>
      <c r="C2455" s="212"/>
      <c r="D2455" s="270"/>
      <c r="E2455" s="208"/>
      <c r="F2455" s="208"/>
      <c r="G2455" s="208"/>
      <c r="H2455" s="209"/>
      <c r="I2455" s="210"/>
      <c r="J2455" s="210"/>
      <c r="K2455" s="260"/>
      <c r="L2455" s="260"/>
      <c r="M2455" s="260"/>
      <c r="N2455" s="260"/>
      <c r="O2455" s="260"/>
      <c r="P2455" s="211"/>
      <c r="Q2455" s="261"/>
      <c r="R2455" s="208" t="str">
        <f ca="1">IF(ISERROR($V2455),"",OFFSET('Smelter Look-up'!$C$4,$V2455-4,0)&amp;"")</f>
        <v/>
      </c>
      <c r="S2455" s="215" t="str">
        <f t="shared" ca="1" si="345"/>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si="346"/>
        <v>0</v>
      </c>
      <c r="Y2455" s="263"/>
      <c r="Z2455" s="263"/>
      <c r="AB2455" s="265" t="str">
        <f t="shared" si="347"/>
        <v/>
      </c>
    </row>
    <row r="2456" spans="1:28" s="264" customFormat="1" ht="20.399999999999999">
      <c r="A2456" s="207"/>
      <c r="B2456" s="208"/>
      <c r="C2456" s="212"/>
      <c r="D2456" s="270"/>
      <c r="E2456" s="208"/>
      <c r="F2456" s="208"/>
      <c r="G2456" s="208"/>
      <c r="H2456" s="209"/>
      <c r="I2456" s="210"/>
      <c r="J2456" s="210"/>
      <c r="K2456" s="260"/>
      <c r="L2456" s="260"/>
      <c r="M2456" s="260"/>
      <c r="N2456" s="260"/>
      <c r="O2456" s="260"/>
      <c r="P2456" s="211"/>
      <c r="Q2456" s="261"/>
      <c r="R2456" s="208" t="str">
        <f ca="1">IF(ISERROR($V2456),"",OFFSET('Smelter Look-up'!$C$4,$V2456-4,0)&amp;"")</f>
        <v/>
      </c>
      <c r="S2456" s="215" t="str">
        <f t="shared" ca="1" si="345"/>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si="346"/>
        <v>0</v>
      </c>
      <c r="Y2456" s="263"/>
      <c r="Z2456" s="263"/>
      <c r="AB2456" s="265" t="str">
        <f t="shared" si="347"/>
        <v/>
      </c>
    </row>
    <row r="2457" spans="1:28" s="264" customFormat="1" ht="20.399999999999999">
      <c r="A2457" s="207"/>
      <c r="B2457" s="208"/>
      <c r="C2457" s="212"/>
      <c r="D2457" s="270"/>
      <c r="E2457" s="208"/>
      <c r="F2457" s="208"/>
      <c r="G2457" s="208"/>
      <c r="H2457" s="209"/>
      <c r="I2457" s="210"/>
      <c r="J2457" s="210"/>
      <c r="K2457" s="260"/>
      <c r="L2457" s="260"/>
      <c r="M2457" s="260"/>
      <c r="N2457" s="260"/>
      <c r="O2457" s="260"/>
      <c r="P2457" s="211"/>
      <c r="Q2457" s="261"/>
      <c r="R2457" s="208" t="str">
        <f ca="1">IF(ISERROR($V2457),"",OFFSET('Smelter Look-up'!$C$4,$V2457-4,0)&amp;"")</f>
        <v/>
      </c>
      <c r="S2457" s="215" t="str">
        <f t="shared" ca="1" si="345"/>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si="346"/>
        <v>0</v>
      </c>
      <c r="Y2457" s="263"/>
      <c r="Z2457" s="263"/>
      <c r="AB2457" s="265" t="str">
        <f t="shared" si="347"/>
        <v/>
      </c>
    </row>
    <row r="2458" spans="1:28" s="264" customFormat="1" ht="20.399999999999999">
      <c r="A2458" s="207"/>
      <c r="B2458" s="208"/>
      <c r="C2458" s="212"/>
      <c r="D2458" s="270"/>
      <c r="E2458" s="208"/>
      <c r="F2458" s="208"/>
      <c r="G2458" s="208"/>
      <c r="H2458" s="209"/>
      <c r="I2458" s="210"/>
      <c r="J2458" s="210"/>
      <c r="K2458" s="260"/>
      <c r="L2458" s="260"/>
      <c r="M2458" s="260"/>
      <c r="N2458" s="260"/>
      <c r="O2458" s="260"/>
      <c r="P2458" s="211"/>
      <c r="Q2458" s="261"/>
      <c r="R2458" s="208" t="str">
        <f ca="1">IF(ISERROR($V2458),"",OFFSET('Smelter Look-up'!$C$4,$V2458-4,0)&amp;"")</f>
        <v/>
      </c>
      <c r="S2458" s="215" t="str">
        <f t="shared" ca="1" si="345"/>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si="346"/>
        <v>0</v>
      </c>
      <c r="Y2458" s="263"/>
      <c r="Z2458" s="263"/>
      <c r="AB2458" s="265" t="str">
        <f t="shared" si="347"/>
        <v/>
      </c>
    </row>
    <row r="2459" spans="1:28" s="264" customFormat="1" ht="20.399999999999999">
      <c r="A2459" s="207"/>
      <c r="B2459" s="208"/>
      <c r="C2459" s="212"/>
      <c r="D2459" s="270"/>
      <c r="E2459" s="208"/>
      <c r="F2459" s="208"/>
      <c r="G2459" s="208"/>
      <c r="H2459" s="209"/>
      <c r="I2459" s="210"/>
      <c r="J2459" s="210"/>
      <c r="K2459" s="260"/>
      <c r="L2459" s="260"/>
      <c r="M2459" s="260"/>
      <c r="N2459" s="260"/>
      <c r="O2459" s="260"/>
      <c r="P2459" s="211"/>
      <c r="Q2459" s="261"/>
      <c r="R2459" s="208" t="str">
        <f ca="1">IF(ISERROR($V2459),"",OFFSET('Smelter Look-up'!$C$4,$V2459-4,0)&amp;"")</f>
        <v/>
      </c>
      <c r="S2459" s="215" t="str">
        <f t="shared" ca="1" si="345"/>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si="346"/>
        <v>0</v>
      </c>
      <c r="Y2459" s="263"/>
      <c r="Z2459" s="263"/>
      <c r="AB2459" s="265" t="str">
        <f t="shared" si="347"/>
        <v/>
      </c>
    </row>
    <row r="2460" spans="1:28" s="264" customFormat="1" ht="20.399999999999999">
      <c r="A2460" s="207"/>
      <c r="B2460" s="208"/>
      <c r="C2460" s="212"/>
      <c r="D2460" s="270"/>
      <c r="E2460" s="208"/>
      <c r="F2460" s="208"/>
      <c r="G2460" s="208"/>
      <c r="H2460" s="209"/>
      <c r="I2460" s="210"/>
      <c r="J2460" s="210"/>
      <c r="K2460" s="260"/>
      <c r="L2460" s="260"/>
      <c r="M2460" s="260"/>
      <c r="N2460" s="260"/>
      <c r="O2460" s="260"/>
      <c r="P2460" s="211"/>
      <c r="Q2460" s="261"/>
      <c r="R2460" s="208" t="str">
        <f ca="1">IF(ISERROR($V2460),"",OFFSET('Smelter Look-up'!$C$4,$V2460-4,0)&amp;"")</f>
        <v/>
      </c>
      <c r="S2460" s="215" t="str">
        <f t="shared" ref="S2460:S2490" ca="1" si="348">IF(B2460="","",IF(ISERROR(MATCH($E2460,CL,0)),"Unknown",INDIRECT("'C'!$A$"&amp;MATCH($E2460,CL,0)+1)))</f>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ref="X2460:X2492" si="349">IF(AND(C2460="Smelter not listed",OR(LEN(D2460)=0,LEN(E2460)=0)),1,0)</f>
        <v>0</v>
      </c>
      <c r="Y2460" s="263"/>
      <c r="Z2460" s="263"/>
      <c r="AB2460" s="265" t="str">
        <f t="shared" ref="AB2460:AB2490" si="350">B2460&amp;C2460</f>
        <v/>
      </c>
    </row>
    <row r="2461" spans="1:28" s="264" customFormat="1" ht="20.399999999999999">
      <c r="A2461" s="207"/>
      <c r="B2461" s="208"/>
      <c r="C2461" s="212"/>
      <c r="D2461" s="270"/>
      <c r="E2461" s="208"/>
      <c r="F2461" s="208"/>
      <c r="G2461" s="208"/>
      <c r="H2461" s="209"/>
      <c r="I2461" s="210"/>
      <c r="J2461" s="210"/>
      <c r="K2461" s="260"/>
      <c r="L2461" s="260"/>
      <c r="M2461" s="260"/>
      <c r="N2461" s="260"/>
      <c r="O2461" s="260"/>
      <c r="P2461" s="211"/>
      <c r="Q2461" s="261"/>
      <c r="R2461" s="208" t="str">
        <f ca="1">IF(ISERROR($V2461),"",OFFSET('Smelter Look-up'!$C$4,$V2461-4,0)&amp;"")</f>
        <v/>
      </c>
      <c r="S2461" s="215" t="str">
        <f t="shared" ca="1" si="348"/>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si="349"/>
        <v>0</v>
      </c>
      <c r="Y2461" s="263"/>
      <c r="Z2461" s="263"/>
      <c r="AB2461" s="265" t="str">
        <f t="shared" si="350"/>
        <v/>
      </c>
    </row>
    <row r="2462" spans="1:28" s="264" customFormat="1" ht="20.399999999999999">
      <c r="A2462" s="207"/>
      <c r="B2462" s="208"/>
      <c r="C2462" s="212"/>
      <c r="D2462" s="270"/>
      <c r="E2462" s="208"/>
      <c r="F2462" s="208"/>
      <c r="G2462" s="208"/>
      <c r="H2462" s="209"/>
      <c r="I2462" s="210"/>
      <c r="J2462" s="210"/>
      <c r="K2462" s="260"/>
      <c r="L2462" s="260"/>
      <c r="M2462" s="260"/>
      <c r="N2462" s="260"/>
      <c r="O2462" s="260"/>
      <c r="P2462" s="211"/>
      <c r="Q2462" s="261"/>
      <c r="R2462" s="208" t="str">
        <f ca="1">IF(ISERROR($V2462),"",OFFSET('Smelter Look-up'!$C$4,$V2462-4,0)&amp;"")</f>
        <v/>
      </c>
      <c r="S2462" s="215" t="str">
        <f t="shared" ca="1" si="348"/>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si="349"/>
        <v>0</v>
      </c>
      <c r="Y2462" s="263"/>
      <c r="Z2462" s="263"/>
      <c r="AB2462" s="265" t="str">
        <f t="shared" si="350"/>
        <v/>
      </c>
    </row>
    <row r="2463" spans="1:28" s="264" customFormat="1" ht="20.399999999999999">
      <c r="A2463" s="207"/>
      <c r="B2463" s="208"/>
      <c r="C2463" s="212"/>
      <c r="D2463" s="270"/>
      <c r="E2463" s="208"/>
      <c r="F2463" s="208"/>
      <c r="G2463" s="208"/>
      <c r="H2463" s="209"/>
      <c r="I2463" s="210"/>
      <c r="J2463" s="210"/>
      <c r="K2463" s="260"/>
      <c r="L2463" s="260"/>
      <c r="M2463" s="260"/>
      <c r="N2463" s="260"/>
      <c r="O2463" s="260"/>
      <c r="P2463" s="211"/>
      <c r="Q2463" s="261"/>
      <c r="R2463" s="208" t="str">
        <f ca="1">IF(ISERROR($V2463),"",OFFSET('Smelter Look-up'!$C$4,$V2463-4,0)&amp;"")</f>
        <v/>
      </c>
      <c r="S2463" s="215" t="str">
        <f t="shared" ca="1" si="348"/>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si="349"/>
        <v>0</v>
      </c>
      <c r="Y2463" s="263"/>
      <c r="Z2463" s="263"/>
      <c r="AB2463" s="265" t="str">
        <f t="shared" si="350"/>
        <v/>
      </c>
    </row>
    <row r="2464" spans="1:28" s="264" customFormat="1" ht="20.399999999999999">
      <c r="A2464" s="207"/>
      <c r="B2464" s="208"/>
      <c r="C2464" s="212"/>
      <c r="D2464" s="270"/>
      <c r="E2464" s="208"/>
      <c r="F2464" s="208"/>
      <c r="G2464" s="208"/>
      <c r="H2464" s="209"/>
      <c r="I2464" s="210"/>
      <c r="J2464" s="210"/>
      <c r="K2464" s="260"/>
      <c r="L2464" s="260"/>
      <c r="M2464" s="260"/>
      <c r="N2464" s="260"/>
      <c r="O2464" s="260"/>
      <c r="P2464" s="211"/>
      <c r="Q2464" s="261"/>
      <c r="R2464" s="208" t="str">
        <f ca="1">IF(ISERROR($V2464),"",OFFSET('Smelter Look-up'!$C$4,$V2464-4,0)&amp;"")</f>
        <v/>
      </c>
      <c r="S2464" s="215" t="str">
        <f t="shared" ca="1" si="348"/>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si="349"/>
        <v>0</v>
      </c>
      <c r="Y2464" s="263"/>
      <c r="Z2464" s="263"/>
      <c r="AB2464" s="265" t="str">
        <f t="shared" si="350"/>
        <v/>
      </c>
    </row>
    <row r="2465" spans="1:28" s="264" customFormat="1" ht="20.399999999999999">
      <c r="A2465" s="207"/>
      <c r="B2465" s="208"/>
      <c r="C2465" s="212"/>
      <c r="D2465" s="270"/>
      <c r="E2465" s="208"/>
      <c r="F2465" s="208"/>
      <c r="G2465" s="208"/>
      <c r="H2465" s="209"/>
      <c r="I2465" s="210"/>
      <c r="J2465" s="210"/>
      <c r="K2465" s="260"/>
      <c r="L2465" s="260"/>
      <c r="M2465" s="260"/>
      <c r="N2465" s="260"/>
      <c r="O2465" s="260"/>
      <c r="P2465" s="211"/>
      <c r="Q2465" s="261"/>
      <c r="R2465" s="208" t="str">
        <f ca="1">IF(ISERROR($V2465),"",OFFSET('Smelter Look-up'!$C$4,$V2465-4,0)&amp;"")</f>
        <v/>
      </c>
      <c r="S2465" s="215" t="str">
        <f t="shared" ca="1" si="348"/>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si="349"/>
        <v>0</v>
      </c>
      <c r="Y2465" s="263"/>
      <c r="Z2465" s="263"/>
      <c r="AB2465" s="265" t="str">
        <f t="shared" si="350"/>
        <v/>
      </c>
    </row>
    <row r="2466" spans="1:28" s="264" customFormat="1" ht="20.399999999999999">
      <c r="A2466" s="207"/>
      <c r="B2466" s="208"/>
      <c r="C2466" s="212"/>
      <c r="D2466" s="270"/>
      <c r="E2466" s="208"/>
      <c r="F2466" s="208"/>
      <c r="G2466" s="208"/>
      <c r="H2466" s="209"/>
      <c r="I2466" s="210"/>
      <c r="J2466" s="210"/>
      <c r="K2466" s="260"/>
      <c r="L2466" s="260"/>
      <c r="M2466" s="260"/>
      <c r="N2466" s="260"/>
      <c r="O2466" s="260"/>
      <c r="P2466" s="211"/>
      <c r="Q2466" s="261"/>
      <c r="R2466" s="208" t="str">
        <f ca="1">IF(ISERROR($V2466),"",OFFSET('Smelter Look-up'!$C$4,$V2466-4,0)&amp;"")</f>
        <v/>
      </c>
      <c r="S2466" s="215" t="str">
        <f t="shared" ca="1" si="348"/>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si="349"/>
        <v>0</v>
      </c>
      <c r="Y2466" s="263"/>
      <c r="Z2466" s="263"/>
      <c r="AB2466" s="265" t="str">
        <f t="shared" si="350"/>
        <v/>
      </c>
    </row>
    <row r="2467" spans="1:28" s="264" customFormat="1" ht="20.399999999999999">
      <c r="A2467" s="207"/>
      <c r="B2467" s="208"/>
      <c r="C2467" s="212"/>
      <c r="D2467" s="270"/>
      <c r="E2467" s="208"/>
      <c r="F2467" s="208"/>
      <c r="G2467" s="208"/>
      <c r="H2467" s="209"/>
      <c r="I2467" s="210"/>
      <c r="J2467" s="210"/>
      <c r="K2467" s="260"/>
      <c r="L2467" s="260"/>
      <c r="M2467" s="260"/>
      <c r="N2467" s="260"/>
      <c r="O2467" s="260"/>
      <c r="P2467" s="211"/>
      <c r="Q2467" s="261"/>
      <c r="R2467" s="208" t="str">
        <f ca="1">IF(ISERROR($V2467),"",OFFSET('Smelter Look-up'!$C$4,$V2467-4,0)&amp;"")</f>
        <v/>
      </c>
      <c r="S2467" s="215" t="str">
        <f t="shared" ca="1" si="348"/>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si="349"/>
        <v>0</v>
      </c>
      <c r="Y2467" s="263"/>
      <c r="Z2467" s="263"/>
      <c r="AB2467" s="265" t="str">
        <f t="shared" si="350"/>
        <v/>
      </c>
    </row>
    <row r="2468" spans="1:28" s="264" customFormat="1" ht="20.399999999999999">
      <c r="A2468" s="207"/>
      <c r="B2468" s="208"/>
      <c r="C2468" s="212"/>
      <c r="D2468" s="270"/>
      <c r="E2468" s="208"/>
      <c r="F2468" s="208"/>
      <c r="G2468" s="208"/>
      <c r="H2468" s="209"/>
      <c r="I2468" s="210"/>
      <c r="J2468" s="210"/>
      <c r="K2468" s="260"/>
      <c r="L2468" s="260"/>
      <c r="M2468" s="260"/>
      <c r="N2468" s="260"/>
      <c r="O2468" s="260"/>
      <c r="P2468" s="211"/>
      <c r="Q2468" s="261"/>
      <c r="R2468" s="208" t="str">
        <f ca="1">IF(ISERROR($V2468),"",OFFSET('Smelter Look-up'!$C$4,$V2468-4,0)&amp;"")</f>
        <v/>
      </c>
      <c r="S2468" s="215" t="str">
        <f t="shared" ca="1" si="348"/>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si="349"/>
        <v>0</v>
      </c>
      <c r="Y2468" s="263"/>
      <c r="Z2468" s="263"/>
      <c r="AB2468" s="265" t="str">
        <f t="shared" si="350"/>
        <v/>
      </c>
    </row>
    <row r="2469" spans="1:28" s="264" customFormat="1" ht="20.399999999999999">
      <c r="A2469" s="207"/>
      <c r="B2469" s="208"/>
      <c r="C2469" s="212"/>
      <c r="D2469" s="270"/>
      <c r="E2469" s="208"/>
      <c r="F2469" s="208"/>
      <c r="G2469" s="208"/>
      <c r="H2469" s="209"/>
      <c r="I2469" s="210"/>
      <c r="J2469" s="210"/>
      <c r="K2469" s="260"/>
      <c r="L2469" s="260"/>
      <c r="M2469" s="260"/>
      <c r="N2469" s="260"/>
      <c r="O2469" s="260"/>
      <c r="P2469" s="211"/>
      <c r="Q2469" s="261"/>
      <c r="R2469" s="208" t="str">
        <f ca="1">IF(ISERROR($V2469),"",OFFSET('Smelter Look-up'!$C$4,$V2469-4,0)&amp;"")</f>
        <v/>
      </c>
      <c r="S2469" s="215" t="str">
        <f t="shared" ca="1" si="348"/>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si="349"/>
        <v>0</v>
      </c>
      <c r="Y2469" s="263"/>
      <c r="Z2469" s="263"/>
      <c r="AB2469" s="265" t="str">
        <f t="shared" si="350"/>
        <v/>
      </c>
    </row>
    <row r="2470" spans="1:28" s="264" customFormat="1" ht="20.399999999999999">
      <c r="A2470" s="207"/>
      <c r="B2470" s="208"/>
      <c r="C2470" s="212"/>
      <c r="D2470" s="270"/>
      <c r="E2470" s="208"/>
      <c r="F2470" s="208"/>
      <c r="G2470" s="208"/>
      <c r="H2470" s="209"/>
      <c r="I2470" s="210"/>
      <c r="J2470" s="210"/>
      <c r="K2470" s="260"/>
      <c r="L2470" s="260"/>
      <c r="M2470" s="260"/>
      <c r="N2470" s="260"/>
      <c r="O2470" s="260"/>
      <c r="P2470" s="211"/>
      <c r="Q2470" s="261"/>
      <c r="R2470" s="208" t="str">
        <f ca="1">IF(ISERROR($V2470),"",OFFSET('Smelter Look-up'!$C$4,$V2470-4,0)&amp;"")</f>
        <v/>
      </c>
      <c r="S2470" s="215" t="str">
        <f t="shared" ca="1" si="348"/>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si="349"/>
        <v>0</v>
      </c>
      <c r="Y2470" s="263"/>
      <c r="Z2470" s="263"/>
      <c r="AB2470" s="265" t="str">
        <f t="shared" si="350"/>
        <v/>
      </c>
    </row>
    <row r="2471" spans="1:28" s="264" customFormat="1" ht="20.399999999999999">
      <c r="A2471" s="207"/>
      <c r="B2471" s="208"/>
      <c r="C2471" s="212"/>
      <c r="D2471" s="270"/>
      <c r="E2471" s="208"/>
      <c r="F2471" s="208"/>
      <c r="G2471" s="208"/>
      <c r="H2471" s="209"/>
      <c r="I2471" s="210"/>
      <c r="J2471" s="210"/>
      <c r="K2471" s="260"/>
      <c r="L2471" s="260"/>
      <c r="M2471" s="260"/>
      <c r="N2471" s="260"/>
      <c r="O2471" s="260"/>
      <c r="P2471" s="211"/>
      <c r="Q2471" s="261"/>
      <c r="R2471" s="208" t="str">
        <f ca="1">IF(ISERROR($V2471),"",OFFSET('Smelter Look-up'!$C$4,$V2471-4,0)&amp;"")</f>
        <v/>
      </c>
      <c r="S2471" s="215" t="str">
        <f t="shared" ca="1" si="348"/>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si="349"/>
        <v>0</v>
      </c>
      <c r="Y2471" s="263"/>
      <c r="Z2471" s="263"/>
      <c r="AB2471" s="265" t="str">
        <f t="shared" si="350"/>
        <v/>
      </c>
    </row>
    <row r="2472" spans="1:28" s="264" customFormat="1" ht="20.399999999999999">
      <c r="A2472" s="207"/>
      <c r="B2472" s="208"/>
      <c r="C2472" s="212"/>
      <c r="D2472" s="270"/>
      <c r="E2472" s="208"/>
      <c r="F2472" s="208"/>
      <c r="G2472" s="208"/>
      <c r="H2472" s="209"/>
      <c r="I2472" s="210"/>
      <c r="J2472" s="210"/>
      <c r="K2472" s="260"/>
      <c r="L2472" s="260"/>
      <c r="M2472" s="260"/>
      <c r="N2472" s="260"/>
      <c r="O2472" s="260"/>
      <c r="P2472" s="211"/>
      <c r="Q2472" s="261"/>
      <c r="R2472" s="208" t="str">
        <f ca="1">IF(ISERROR($V2472),"",OFFSET('Smelter Look-up'!$C$4,$V2472-4,0)&amp;"")</f>
        <v/>
      </c>
      <c r="S2472" s="215" t="str">
        <f t="shared" ca="1" si="348"/>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si="349"/>
        <v>0</v>
      </c>
      <c r="Y2472" s="263"/>
      <c r="Z2472" s="263"/>
      <c r="AB2472" s="265" t="str">
        <f t="shared" si="350"/>
        <v/>
      </c>
    </row>
    <row r="2473" spans="1:28" s="264" customFormat="1" ht="20.399999999999999">
      <c r="A2473" s="207"/>
      <c r="B2473" s="208"/>
      <c r="C2473" s="212"/>
      <c r="D2473" s="270"/>
      <c r="E2473" s="208"/>
      <c r="F2473" s="208"/>
      <c r="G2473" s="208"/>
      <c r="H2473" s="209"/>
      <c r="I2473" s="210"/>
      <c r="J2473" s="210"/>
      <c r="K2473" s="260"/>
      <c r="L2473" s="260"/>
      <c r="M2473" s="260"/>
      <c r="N2473" s="260"/>
      <c r="O2473" s="260"/>
      <c r="P2473" s="211"/>
      <c r="Q2473" s="261"/>
      <c r="R2473" s="208" t="str">
        <f ca="1">IF(ISERROR($V2473),"",OFFSET('Smelter Look-up'!$C$4,$V2473-4,0)&amp;"")</f>
        <v/>
      </c>
      <c r="S2473" s="215" t="str">
        <f t="shared" ca="1" si="348"/>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si="349"/>
        <v>0</v>
      </c>
      <c r="Y2473" s="263"/>
      <c r="Z2473" s="263"/>
      <c r="AB2473" s="265" t="str">
        <f t="shared" si="350"/>
        <v/>
      </c>
    </row>
    <row r="2474" spans="1:28" s="264" customFormat="1" ht="20.399999999999999">
      <c r="A2474" s="207"/>
      <c r="B2474" s="208"/>
      <c r="C2474" s="212"/>
      <c r="D2474" s="270"/>
      <c r="E2474" s="208"/>
      <c r="F2474" s="208"/>
      <c r="G2474" s="208"/>
      <c r="H2474" s="209"/>
      <c r="I2474" s="210"/>
      <c r="J2474" s="210"/>
      <c r="K2474" s="260"/>
      <c r="L2474" s="260"/>
      <c r="M2474" s="260"/>
      <c r="N2474" s="260"/>
      <c r="O2474" s="260"/>
      <c r="P2474" s="211"/>
      <c r="Q2474" s="261"/>
      <c r="R2474" s="208" t="str">
        <f ca="1">IF(ISERROR($V2474),"",OFFSET('Smelter Look-up'!$C$4,$V2474-4,0)&amp;"")</f>
        <v/>
      </c>
      <c r="S2474" s="215" t="str">
        <f t="shared" ca="1" si="348"/>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si="349"/>
        <v>0</v>
      </c>
      <c r="Y2474" s="263"/>
      <c r="Z2474" s="263"/>
      <c r="AB2474" s="265" t="str">
        <f t="shared" si="350"/>
        <v/>
      </c>
    </row>
    <row r="2475" spans="1:28" s="264" customFormat="1" ht="20.399999999999999">
      <c r="A2475" s="207"/>
      <c r="B2475" s="208"/>
      <c r="C2475" s="212"/>
      <c r="D2475" s="270"/>
      <c r="E2475" s="208"/>
      <c r="F2475" s="208"/>
      <c r="G2475" s="208"/>
      <c r="H2475" s="209"/>
      <c r="I2475" s="210"/>
      <c r="J2475" s="210"/>
      <c r="K2475" s="260"/>
      <c r="L2475" s="260"/>
      <c r="M2475" s="260"/>
      <c r="N2475" s="260"/>
      <c r="O2475" s="260"/>
      <c r="P2475" s="211"/>
      <c r="Q2475" s="261"/>
      <c r="R2475" s="208" t="str">
        <f ca="1">IF(ISERROR($V2475),"",OFFSET('Smelter Look-up'!$C$4,$V2475-4,0)&amp;"")</f>
        <v/>
      </c>
      <c r="S2475" s="215" t="str">
        <f t="shared" ca="1" si="348"/>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f t="shared" si="349"/>
        <v>0</v>
      </c>
      <c r="Y2475" s="263"/>
      <c r="Z2475" s="263"/>
      <c r="AB2475" s="265" t="str">
        <f t="shared" si="350"/>
        <v/>
      </c>
    </row>
    <row r="2476" spans="1:28" s="264" customFormat="1" ht="20.399999999999999">
      <c r="A2476" s="207"/>
      <c r="B2476" s="208"/>
      <c r="C2476" s="212"/>
      <c r="D2476" s="270"/>
      <c r="E2476" s="208"/>
      <c r="F2476" s="208"/>
      <c r="G2476" s="208"/>
      <c r="H2476" s="209"/>
      <c r="I2476" s="210"/>
      <c r="J2476" s="210"/>
      <c r="K2476" s="260"/>
      <c r="L2476" s="260"/>
      <c r="M2476" s="260"/>
      <c r="N2476" s="260"/>
      <c r="O2476" s="260"/>
      <c r="P2476" s="211"/>
      <c r="Q2476" s="261"/>
      <c r="R2476" s="208" t="str">
        <f ca="1">IF(ISERROR($V2476),"",OFFSET('Smelter Look-up'!$C$4,$V2476-4,0)&amp;"")</f>
        <v/>
      </c>
      <c r="S2476" s="215" t="str">
        <f t="shared" ca="1" si="348"/>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f t="shared" si="349"/>
        <v>0</v>
      </c>
      <c r="Y2476" s="263"/>
      <c r="Z2476" s="263"/>
      <c r="AB2476" s="265" t="str">
        <f t="shared" si="350"/>
        <v/>
      </c>
    </row>
    <row r="2477" spans="1:28" s="264" customFormat="1" ht="20.399999999999999">
      <c r="A2477" s="207"/>
      <c r="B2477" s="208"/>
      <c r="C2477" s="212"/>
      <c r="D2477" s="270"/>
      <c r="E2477" s="208"/>
      <c r="F2477" s="208"/>
      <c r="G2477" s="208"/>
      <c r="H2477" s="209"/>
      <c r="I2477" s="210"/>
      <c r="J2477" s="210"/>
      <c r="K2477" s="260"/>
      <c r="L2477" s="260"/>
      <c r="M2477" s="260"/>
      <c r="N2477" s="260"/>
      <c r="O2477" s="260"/>
      <c r="P2477" s="211"/>
      <c r="Q2477" s="261"/>
      <c r="R2477" s="208" t="str">
        <f ca="1">IF(ISERROR($V2477),"",OFFSET('Smelter Look-up'!$C$4,$V2477-4,0)&amp;"")</f>
        <v/>
      </c>
      <c r="S2477" s="215" t="str">
        <f t="shared" ca="1" si="348"/>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f t="shared" si="349"/>
        <v>0</v>
      </c>
      <c r="Y2477" s="263"/>
      <c r="Z2477" s="263"/>
      <c r="AB2477" s="265" t="str">
        <f t="shared" si="350"/>
        <v/>
      </c>
    </row>
    <row r="2478" spans="1:28" s="264" customFormat="1" ht="20.399999999999999">
      <c r="A2478" s="207"/>
      <c r="B2478" s="208"/>
      <c r="C2478" s="212"/>
      <c r="D2478" s="270"/>
      <c r="E2478" s="208"/>
      <c r="F2478" s="208"/>
      <c r="G2478" s="208"/>
      <c r="H2478" s="209"/>
      <c r="I2478" s="210"/>
      <c r="J2478" s="210"/>
      <c r="K2478" s="260"/>
      <c r="L2478" s="260"/>
      <c r="M2478" s="260"/>
      <c r="N2478" s="260"/>
      <c r="O2478" s="260"/>
      <c r="P2478" s="211"/>
      <c r="Q2478" s="261"/>
      <c r="R2478" s="208" t="str">
        <f ca="1">IF(ISERROR($V2478),"",OFFSET('Smelter Look-up'!$C$4,$V2478-4,0)&amp;"")</f>
        <v/>
      </c>
      <c r="S2478" s="215" t="str">
        <f t="shared" ca="1" si="348"/>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f t="shared" si="349"/>
        <v>0</v>
      </c>
      <c r="Y2478" s="263"/>
      <c r="Z2478" s="263"/>
      <c r="AB2478" s="265" t="str">
        <f t="shared" si="350"/>
        <v/>
      </c>
    </row>
    <row r="2479" spans="1:28" s="264" customFormat="1" ht="20.399999999999999">
      <c r="A2479" s="207"/>
      <c r="B2479" s="208"/>
      <c r="C2479" s="212"/>
      <c r="D2479" s="270"/>
      <c r="E2479" s="208"/>
      <c r="F2479" s="208"/>
      <c r="G2479" s="208"/>
      <c r="H2479" s="209"/>
      <c r="I2479" s="210"/>
      <c r="J2479" s="210"/>
      <c r="K2479" s="260"/>
      <c r="L2479" s="260"/>
      <c r="M2479" s="260"/>
      <c r="N2479" s="260"/>
      <c r="O2479" s="260"/>
      <c r="P2479" s="211"/>
      <c r="Q2479" s="261"/>
      <c r="R2479" s="208" t="str">
        <f ca="1">IF(ISERROR($V2479),"",OFFSET('Smelter Look-up'!$C$4,$V2479-4,0)&amp;"")</f>
        <v/>
      </c>
      <c r="S2479" s="215" t="str">
        <f t="shared" ca="1" si="348"/>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f t="shared" si="349"/>
        <v>0</v>
      </c>
      <c r="Y2479" s="263"/>
      <c r="Z2479" s="263"/>
      <c r="AB2479" s="265" t="str">
        <f t="shared" si="350"/>
        <v/>
      </c>
    </row>
    <row r="2480" spans="1:28" s="264" customFormat="1" ht="20.399999999999999">
      <c r="A2480" s="207"/>
      <c r="B2480" s="208"/>
      <c r="C2480" s="212"/>
      <c r="D2480" s="270"/>
      <c r="E2480" s="208"/>
      <c r="F2480" s="208"/>
      <c r="G2480" s="208"/>
      <c r="H2480" s="209"/>
      <c r="I2480" s="210"/>
      <c r="J2480" s="210"/>
      <c r="K2480" s="260"/>
      <c r="L2480" s="260"/>
      <c r="M2480" s="260"/>
      <c r="N2480" s="260"/>
      <c r="O2480" s="260"/>
      <c r="P2480" s="211"/>
      <c r="Q2480" s="261"/>
      <c r="R2480" s="208" t="str">
        <f ca="1">IF(ISERROR($V2480),"",OFFSET('Smelter Look-up'!$C$4,$V2480-4,0)&amp;"")</f>
        <v/>
      </c>
      <c r="S2480" s="215" t="str">
        <f t="shared" ca="1" si="348"/>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f t="shared" si="349"/>
        <v>0</v>
      </c>
      <c r="Y2480" s="263"/>
      <c r="Z2480" s="263"/>
      <c r="AB2480" s="265" t="str">
        <f t="shared" si="350"/>
        <v/>
      </c>
    </row>
    <row r="2481" spans="1:28" s="264" customFormat="1" ht="20.399999999999999">
      <c r="A2481" s="207"/>
      <c r="B2481" s="208"/>
      <c r="C2481" s="212"/>
      <c r="D2481" s="270"/>
      <c r="E2481" s="208"/>
      <c r="F2481" s="208"/>
      <c r="G2481" s="208"/>
      <c r="H2481" s="209"/>
      <c r="I2481" s="210"/>
      <c r="J2481" s="210"/>
      <c r="K2481" s="260"/>
      <c r="L2481" s="260"/>
      <c r="M2481" s="260"/>
      <c r="N2481" s="260"/>
      <c r="O2481" s="260"/>
      <c r="P2481" s="211"/>
      <c r="Q2481" s="261"/>
      <c r="R2481" s="208" t="str">
        <f ca="1">IF(ISERROR($V2481),"",OFFSET('Smelter Look-up'!$C$4,$V2481-4,0)&amp;"")</f>
        <v/>
      </c>
      <c r="S2481" s="215" t="str">
        <f t="shared" ca="1" si="348"/>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f t="shared" si="349"/>
        <v>0</v>
      </c>
      <c r="Y2481" s="263"/>
      <c r="Z2481" s="263"/>
      <c r="AB2481" s="265" t="str">
        <f t="shared" si="350"/>
        <v/>
      </c>
    </row>
    <row r="2482" spans="1:28" s="264" customFormat="1" ht="20.399999999999999">
      <c r="A2482" s="207"/>
      <c r="B2482" s="208"/>
      <c r="C2482" s="212"/>
      <c r="D2482" s="270"/>
      <c r="E2482" s="208"/>
      <c r="F2482" s="208"/>
      <c r="G2482" s="208"/>
      <c r="H2482" s="209"/>
      <c r="I2482" s="210"/>
      <c r="J2482" s="210"/>
      <c r="K2482" s="260"/>
      <c r="L2482" s="260"/>
      <c r="M2482" s="260"/>
      <c r="N2482" s="260"/>
      <c r="O2482" s="260"/>
      <c r="P2482" s="211"/>
      <c r="Q2482" s="261"/>
      <c r="R2482" s="208" t="str">
        <f ca="1">IF(ISERROR($V2482),"",OFFSET('Smelter Look-up'!$C$4,$V2482-4,0)&amp;"")</f>
        <v/>
      </c>
      <c r="S2482" s="215" t="str">
        <f t="shared" ca="1" si="348"/>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f t="shared" si="349"/>
        <v>0</v>
      </c>
      <c r="Y2482" s="263"/>
      <c r="Z2482" s="263"/>
      <c r="AB2482" s="265" t="str">
        <f t="shared" si="350"/>
        <v/>
      </c>
    </row>
    <row r="2483" spans="1:28" s="264" customFormat="1" ht="20.399999999999999">
      <c r="A2483" s="207"/>
      <c r="B2483" s="208"/>
      <c r="C2483" s="212"/>
      <c r="D2483" s="270"/>
      <c r="E2483" s="208"/>
      <c r="F2483" s="208"/>
      <c r="G2483" s="208"/>
      <c r="H2483" s="209"/>
      <c r="I2483" s="210"/>
      <c r="J2483" s="210"/>
      <c r="K2483" s="260"/>
      <c r="L2483" s="260"/>
      <c r="M2483" s="260"/>
      <c r="N2483" s="260"/>
      <c r="O2483" s="260"/>
      <c r="P2483" s="211"/>
      <c r="Q2483" s="261"/>
      <c r="R2483" s="208" t="str">
        <f ca="1">IF(ISERROR($V2483),"",OFFSET('Smelter Look-up'!$C$4,$V2483-4,0)&amp;"")</f>
        <v/>
      </c>
      <c r="S2483" s="215" t="str">
        <f t="shared" ca="1" si="348"/>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f t="shared" si="349"/>
        <v>0</v>
      </c>
      <c r="Y2483" s="263"/>
      <c r="Z2483" s="263"/>
      <c r="AB2483" s="265" t="str">
        <f t="shared" si="350"/>
        <v/>
      </c>
    </row>
    <row r="2484" spans="1:28" s="264" customFormat="1" ht="20.399999999999999">
      <c r="A2484" s="207"/>
      <c r="B2484" s="208"/>
      <c r="C2484" s="212"/>
      <c r="D2484" s="270"/>
      <c r="E2484" s="208"/>
      <c r="F2484" s="208"/>
      <c r="G2484" s="208"/>
      <c r="H2484" s="209"/>
      <c r="I2484" s="210"/>
      <c r="J2484" s="210"/>
      <c r="K2484" s="260"/>
      <c r="L2484" s="260"/>
      <c r="M2484" s="260"/>
      <c r="N2484" s="260"/>
      <c r="O2484" s="260"/>
      <c r="P2484" s="211"/>
      <c r="Q2484" s="261"/>
      <c r="R2484" s="208" t="str">
        <f ca="1">IF(ISERROR($V2484),"",OFFSET('Smelter Look-up'!$C$4,$V2484-4,0)&amp;"")</f>
        <v/>
      </c>
      <c r="S2484" s="215" t="str">
        <f t="shared" ca="1" si="348"/>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f t="shared" si="349"/>
        <v>0</v>
      </c>
      <c r="Y2484" s="263"/>
      <c r="Z2484" s="263"/>
      <c r="AB2484" s="265" t="str">
        <f t="shared" si="350"/>
        <v/>
      </c>
    </row>
    <row r="2485" spans="1:28" s="264" customFormat="1" ht="20.399999999999999">
      <c r="A2485" s="207"/>
      <c r="B2485" s="208"/>
      <c r="C2485" s="212"/>
      <c r="D2485" s="270"/>
      <c r="E2485" s="208"/>
      <c r="F2485" s="208"/>
      <c r="G2485" s="208"/>
      <c r="H2485" s="209"/>
      <c r="I2485" s="210"/>
      <c r="J2485" s="210"/>
      <c r="K2485" s="260"/>
      <c r="L2485" s="260"/>
      <c r="M2485" s="260"/>
      <c r="N2485" s="260"/>
      <c r="O2485" s="260"/>
      <c r="P2485" s="211"/>
      <c r="Q2485" s="261"/>
      <c r="R2485" s="208" t="str">
        <f ca="1">IF(ISERROR($V2485),"",OFFSET('Smelter Look-up'!$C$4,$V2485-4,0)&amp;"")</f>
        <v/>
      </c>
      <c r="S2485" s="215" t="str">
        <f t="shared" ca="1" si="348"/>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f t="shared" si="349"/>
        <v>0</v>
      </c>
      <c r="Y2485" s="263"/>
      <c r="Z2485" s="263"/>
      <c r="AB2485" s="265" t="str">
        <f t="shared" si="350"/>
        <v/>
      </c>
    </row>
    <row r="2486" spans="1:28" s="264" customFormat="1" ht="20.399999999999999">
      <c r="A2486" s="207"/>
      <c r="B2486" s="208"/>
      <c r="C2486" s="212"/>
      <c r="D2486" s="270"/>
      <c r="E2486" s="208"/>
      <c r="F2486" s="208"/>
      <c r="G2486" s="208"/>
      <c r="H2486" s="209"/>
      <c r="I2486" s="210"/>
      <c r="J2486" s="210"/>
      <c r="K2486" s="260"/>
      <c r="L2486" s="260"/>
      <c r="M2486" s="260"/>
      <c r="N2486" s="260"/>
      <c r="O2486" s="260"/>
      <c r="P2486" s="211"/>
      <c r="Q2486" s="261"/>
      <c r="R2486" s="208" t="str">
        <f ca="1">IF(ISERROR($V2486),"",OFFSET('Smelter Look-up'!$C$4,$V2486-4,0)&amp;"")</f>
        <v/>
      </c>
      <c r="S2486" s="215" t="str">
        <f t="shared" ca="1" si="348"/>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f t="shared" si="349"/>
        <v>0</v>
      </c>
      <c r="Y2486" s="263"/>
      <c r="Z2486" s="263"/>
      <c r="AB2486" s="265" t="str">
        <f t="shared" si="350"/>
        <v/>
      </c>
    </row>
    <row r="2487" spans="1:28" s="264" customFormat="1" ht="20.399999999999999">
      <c r="A2487" s="207"/>
      <c r="B2487" s="208"/>
      <c r="C2487" s="212"/>
      <c r="D2487" s="270"/>
      <c r="E2487" s="208"/>
      <c r="F2487" s="208"/>
      <c r="G2487" s="208"/>
      <c r="H2487" s="209"/>
      <c r="I2487" s="210"/>
      <c r="J2487" s="210"/>
      <c r="K2487" s="260"/>
      <c r="L2487" s="260"/>
      <c r="M2487" s="260"/>
      <c r="N2487" s="260"/>
      <c r="O2487" s="260"/>
      <c r="P2487" s="211"/>
      <c r="Q2487" s="261"/>
      <c r="R2487" s="208" t="str">
        <f ca="1">IF(ISERROR($V2487),"",OFFSET('Smelter Look-up'!$C$4,$V2487-4,0)&amp;"")</f>
        <v/>
      </c>
      <c r="S2487" s="215" t="str">
        <f t="shared" ca="1" si="348"/>
        <v/>
      </c>
      <c r="T2487" s="215" t="str">
        <f ca="1">IF(B2487="","",IF(ISERROR(MATCH($J2487,SorP!$B$1:$B$6230,0)),"",INDIRECT("'SorP'!$A$"&amp;MATCH($J2487,SorP!$B$1:$B$6230,0))))</f>
        <v/>
      </c>
      <c r="U2487" s="231"/>
      <c r="V2487" s="262" t="e">
        <f>IF(C2487="",NA(),IF(OR(C2487="Smelter not listed",C2487="Smelter not yet identified"),MATCH($B2487&amp;$D2487,'Smelter Look-up'!$J:$J,0),MATCH($B2487&amp;$C2487,'Smelter Look-up'!$J:$J,0)))</f>
        <v>#N/A</v>
      </c>
      <c r="W2487" s="263"/>
      <c r="X2487" s="263">
        <f t="shared" si="349"/>
        <v>0</v>
      </c>
      <c r="Y2487" s="263"/>
      <c r="Z2487" s="263"/>
      <c r="AB2487" s="265" t="str">
        <f t="shared" si="350"/>
        <v/>
      </c>
    </row>
    <row r="2488" spans="1:28" s="264" customFormat="1" ht="20.399999999999999">
      <c r="A2488" s="207"/>
      <c r="B2488" s="208"/>
      <c r="C2488" s="212"/>
      <c r="D2488" s="270"/>
      <c r="E2488" s="208"/>
      <c r="F2488" s="208"/>
      <c r="G2488" s="208"/>
      <c r="H2488" s="209"/>
      <c r="I2488" s="210"/>
      <c r="J2488" s="210"/>
      <c r="K2488" s="260"/>
      <c r="L2488" s="260"/>
      <c r="M2488" s="260"/>
      <c r="N2488" s="260"/>
      <c r="O2488" s="260"/>
      <c r="P2488" s="211"/>
      <c r="Q2488" s="261"/>
      <c r="R2488" s="208" t="str">
        <f ca="1">IF(ISERROR($V2488),"",OFFSET('Smelter Look-up'!$C$4,$V2488-4,0)&amp;"")</f>
        <v/>
      </c>
      <c r="S2488" s="215" t="str">
        <f t="shared" ca="1" si="348"/>
        <v/>
      </c>
      <c r="T2488" s="215" t="str">
        <f ca="1">IF(B2488="","",IF(ISERROR(MATCH($J2488,SorP!$B$1:$B$6230,0)),"",INDIRECT("'SorP'!$A$"&amp;MATCH($J2488,SorP!$B$1:$B$6230,0))))</f>
        <v/>
      </c>
      <c r="U2488" s="231"/>
      <c r="V2488" s="262" t="e">
        <f>IF(C2488="",NA(),IF(OR(C2488="Smelter not listed",C2488="Smelter not yet identified"),MATCH($B2488&amp;$D2488,'Smelter Look-up'!$J:$J,0),MATCH($B2488&amp;$C2488,'Smelter Look-up'!$J:$J,0)))</f>
        <v>#N/A</v>
      </c>
      <c r="W2488" s="263"/>
      <c r="X2488" s="263">
        <f t="shared" si="349"/>
        <v>0</v>
      </c>
      <c r="Y2488" s="263"/>
      <c r="Z2488" s="263"/>
      <c r="AB2488" s="265" t="str">
        <f t="shared" si="350"/>
        <v/>
      </c>
    </row>
    <row r="2489" spans="1:28" s="264" customFormat="1" ht="20.399999999999999">
      <c r="A2489" s="207"/>
      <c r="B2489" s="208"/>
      <c r="C2489" s="212"/>
      <c r="D2489" s="270"/>
      <c r="E2489" s="208"/>
      <c r="F2489" s="208"/>
      <c r="G2489" s="208"/>
      <c r="H2489" s="209"/>
      <c r="I2489" s="210"/>
      <c r="J2489" s="210"/>
      <c r="K2489" s="260"/>
      <c r="L2489" s="260"/>
      <c r="M2489" s="260"/>
      <c r="N2489" s="260"/>
      <c r="O2489" s="260"/>
      <c r="P2489" s="211"/>
      <c r="Q2489" s="261"/>
      <c r="R2489" s="208" t="str">
        <f ca="1">IF(ISERROR($V2489),"",OFFSET('Smelter Look-up'!$C$4,$V2489-4,0)&amp;"")</f>
        <v/>
      </c>
      <c r="S2489" s="215" t="str">
        <f t="shared" ca="1" si="348"/>
        <v/>
      </c>
      <c r="T2489" s="215" t="str">
        <f ca="1">IF(B2489="","",IF(ISERROR(MATCH($J2489,SorP!$B$1:$B$6230,0)),"",INDIRECT("'SorP'!$A$"&amp;MATCH($J2489,SorP!$B$1:$B$6230,0))))</f>
        <v/>
      </c>
      <c r="U2489" s="231"/>
      <c r="V2489" s="262" t="e">
        <f>IF(C2489="",NA(),IF(OR(C2489="Smelter not listed",C2489="Smelter not yet identified"),MATCH($B2489&amp;$D2489,'Smelter Look-up'!$J:$J,0),MATCH($B2489&amp;$C2489,'Smelter Look-up'!$J:$J,0)))</f>
        <v>#N/A</v>
      </c>
      <c r="W2489" s="263"/>
      <c r="X2489" s="263">
        <f t="shared" si="349"/>
        <v>0</v>
      </c>
      <c r="Y2489" s="263"/>
      <c r="Z2489" s="263"/>
      <c r="AB2489" s="265" t="str">
        <f t="shared" si="350"/>
        <v/>
      </c>
    </row>
    <row r="2490" spans="1:28" s="264" customFormat="1" ht="20.399999999999999">
      <c r="A2490" s="207"/>
      <c r="B2490" s="208"/>
      <c r="C2490" s="212"/>
      <c r="D2490" s="270"/>
      <c r="E2490" s="208"/>
      <c r="F2490" s="208"/>
      <c r="G2490" s="208"/>
      <c r="H2490" s="209"/>
      <c r="I2490" s="210"/>
      <c r="J2490" s="210"/>
      <c r="K2490" s="260"/>
      <c r="L2490" s="260"/>
      <c r="M2490" s="260"/>
      <c r="N2490" s="260"/>
      <c r="O2490" s="260"/>
      <c r="P2490" s="211"/>
      <c r="Q2490" s="261"/>
      <c r="R2490" s="208" t="str">
        <f ca="1">IF(ISERROR($V2490),"",OFFSET('Smelter Look-up'!$C$4,$V2490-4,0)&amp;"")</f>
        <v/>
      </c>
      <c r="S2490" s="215" t="str">
        <f t="shared" ca="1" si="348"/>
        <v/>
      </c>
      <c r="T2490" s="215" t="str">
        <f ca="1">IF(B2490="","",IF(ISERROR(MATCH($J2490,SorP!$B$1:$B$6230,0)),"",INDIRECT("'SorP'!$A$"&amp;MATCH($J2490,SorP!$B$1:$B$6230,0))))</f>
        <v/>
      </c>
      <c r="U2490" s="231"/>
      <c r="V2490" s="262" t="e">
        <f>IF(C2490="",NA(),IF(OR(C2490="Smelter not listed",C2490="Smelter not yet identified"),MATCH($B2490&amp;$D2490,'Smelter Look-up'!$J:$J,0),MATCH($B2490&amp;$C2490,'Smelter Look-up'!$J:$J,0)))</f>
        <v>#N/A</v>
      </c>
      <c r="W2490" s="263"/>
      <c r="X2490" s="263">
        <f t="shared" si="349"/>
        <v>0</v>
      </c>
      <c r="Y2490" s="263"/>
      <c r="Z2490" s="263"/>
      <c r="AB2490" s="265" t="str">
        <f t="shared" si="350"/>
        <v/>
      </c>
    </row>
    <row r="2491" spans="1:28" s="264" customFormat="1" ht="20.399999999999999">
      <c r="A2491" s="207"/>
      <c r="B2491" s="208"/>
      <c r="C2491" s="212"/>
      <c r="D2491" s="270"/>
      <c r="E2491" s="208"/>
      <c r="F2491" s="208"/>
      <c r="G2491" s="208"/>
      <c r="H2491" s="209"/>
      <c r="I2491" s="210"/>
      <c r="J2491" s="210"/>
      <c r="K2491" s="260"/>
      <c r="L2491" s="260"/>
      <c r="M2491" s="260"/>
      <c r="N2491" s="260"/>
      <c r="O2491" s="260"/>
      <c r="P2491" s="211"/>
      <c r="Q2491" s="261"/>
      <c r="R2491" s="208" t="str">
        <f ca="1">IF(ISERROR($V2491),"",OFFSET('Smelter Look-up'!$C$4,$V2491-4,0)&amp;"")</f>
        <v/>
      </c>
      <c r="S2491" s="215" t="str">
        <f t="shared" ref="S2491" ca="1" si="351">IF(B2491="","",IF(ISERROR(MATCH($E2491,CL,0)),"Unknown",INDIRECT("'C'!$A$"&amp;MATCH($E2491,CL,0)+1)))</f>
        <v/>
      </c>
      <c r="T2491" s="215" t="str">
        <f ca="1">IF(B2491="","",IF(ISERROR(MATCH($J2491,SorP!$B$1:$B$6230,0)),"",INDIRECT("'SorP'!$A$"&amp;MATCH($J2491,SorP!$B$1:$B$6230,0))))</f>
        <v/>
      </c>
      <c r="U2491" s="231"/>
      <c r="V2491" s="262" t="e">
        <f>IF(C2491="",NA(),IF(OR(C2491="Smelter not listed",C2491="Smelter not yet identified"),MATCH($B2491&amp;$D2491,'Smelter Look-up'!$J:$J,0),MATCH($B2491&amp;$C2491,'Smelter Look-up'!$J:$J,0)))</f>
        <v>#N/A</v>
      </c>
      <c r="W2491" s="263"/>
      <c r="X2491" s="263">
        <f t="shared" si="349"/>
        <v>0</v>
      </c>
      <c r="Y2491" s="263"/>
      <c r="Z2491" s="263"/>
      <c r="AB2491" s="265" t="str">
        <f t="shared" ref="AB2491" si="352">B2491&amp;C2491</f>
        <v/>
      </c>
    </row>
    <row r="2492" spans="1:28" s="264" customFormat="1" ht="20.399999999999999">
      <c r="A2492" s="207"/>
      <c r="B2492" s="208"/>
      <c r="C2492" s="212"/>
      <c r="D2492" s="270"/>
      <c r="E2492" s="208"/>
      <c r="F2492" s="208"/>
      <c r="G2492" s="208"/>
      <c r="H2492" s="209"/>
      <c r="I2492" s="210"/>
      <c r="J2492" s="210"/>
      <c r="K2492" s="260"/>
      <c r="L2492" s="260"/>
      <c r="M2492" s="260"/>
      <c r="N2492" s="260"/>
      <c r="O2492" s="260"/>
      <c r="P2492" s="211"/>
      <c r="Q2492" s="261"/>
      <c r="R2492" s="208" t="str">
        <f ca="1">IF(ISERROR($V2492),"",OFFSET('Smelter Look-up'!$C$4,$V2492-4,0)&amp;"")</f>
        <v/>
      </c>
      <c r="S2492" s="215" t="str">
        <f ca="1">IF(B2492="","",IF(ISERROR(MATCH($E2492,CL,0)),"Unknown",INDIRECT("'C'!$A$"&amp;MATCH($E2492,CL,0)+1)))</f>
        <v/>
      </c>
      <c r="T2492" s="215" t="str">
        <f ca="1">IF(B2492="","",IF(ISERROR(MATCH($J2492,SorP!$B$1:$B$6230,0)),"",INDIRECT("'SorP'!$A$"&amp;MATCH($J2492,SorP!$B$1:$B$6230,0))))</f>
        <v/>
      </c>
      <c r="U2492" s="231"/>
      <c r="V2492" s="262" t="e">
        <f>IF(C2492="",NA(),IF(OR(C2492="Smelter not listed",C2492="Smelter not yet identified"),MATCH($B2492&amp;$D2492,'Smelter Look-up'!$J:$J,0),MATCH($B2492&amp;$C2492,'Smelter Look-up'!$J:$J,0)))</f>
        <v>#N/A</v>
      </c>
      <c r="W2492" s="263"/>
      <c r="X2492" s="263">
        <f t="shared" si="349"/>
        <v>0</v>
      </c>
      <c r="Y2492" s="263"/>
      <c r="Z2492" s="263"/>
      <c r="AB2492" s="265" t="str">
        <f>B2492&amp;C2492</f>
        <v/>
      </c>
    </row>
    <row r="2493" spans="1:28" s="264" customFormat="1" ht="20.399999999999999">
      <c r="A2493" s="207"/>
      <c r="B2493" s="208"/>
      <c r="C2493" s="212"/>
      <c r="D2493" s="270"/>
      <c r="E2493" s="208"/>
      <c r="F2493" s="208"/>
      <c r="G2493" s="208"/>
      <c r="H2493" s="209"/>
      <c r="I2493" s="210"/>
      <c r="J2493" s="210"/>
      <c r="K2493" s="260"/>
      <c r="L2493" s="260"/>
      <c r="M2493" s="260"/>
      <c r="N2493" s="260"/>
      <c r="O2493" s="260"/>
      <c r="P2493" s="211"/>
      <c r="Q2493" s="261"/>
      <c r="R2493" s="208" t="str">
        <f ca="1">IF(ISERROR($V2493),"",OFFSET('Smelter Look-up'!$C$4,$V2493-4,0)&amp;"")</f>
        <v/>
      </c>
      <c r="S2493" s="215" t="str">
        <f t="shared" ref="S2493" ca="1" si="353">IF(B2493="","",IF(ISERROR(MATCH($E2493,CL,0)),"Unknown",INDIRECT("'C'!$A$"&amp;MATCH($E2493,CL,0)+1)))</f>
        <v/>
      </c>
      <c r="T2493" s="215" t="str">
        <f ca="1">IF(B2493="","",IF(ISERROR(MATCH($J2493,SorP!$B$1:$B$6230,0)),"",INDIRECT("'SorP'!$A$"&amp;MATCH($J2493,SorP!$B$1:$B$6230,0))))</f>
        <v/>
      </c>
      <c r="U2493" s="231"/>
      <c r="V2493" s="262" t="e">
        <f>IF(C2493="",NA(),IF(OR(C2493="Smelter not listed",C2493="Smelter not yet identified"),MATCH($B2493&amp;$D2493,'Smelter Look-up'!$J:$J,0),MATCH($B2493&amp;$C2493,'Smelter Look-up'!$J:$J,0)))</f>
        <v>#N/A</v>
      </c>
      <c r="W2493" s="263"/>
      <c r="X2493" s="263"/>
      <c r="Y2493" s="263"/>
      <c r="Z2493" s="263"/>
      <c r="AB2493" s="265"/>
    </row>
    <row r="2494" spans="1:28" s="264" customFormat="1" ht="20.399999999999999">
      <c r="A2494" s="207"/>
      <c r="B2494" s="208"/>
      <c r="C2494" s="212"/>
      <c r="D2494" s="270"/>
      <c r="E2494" s="208"/>
      <c r="F2494" s="208"/>
      <c r="G2494" s="208"/>
      <c r="H2494" s="209"/>
      <c r="I2494" s="210"/>
      <c r="J2494" s="210"/>
      <c r="K2494" s="260"/>
      <c r="L2494" s="260"/>
      <c r="M2494" s="260"/>
      <c r="N2494" s="260"/>
      <c r="O2494" s="260"/>
      <c r="P2494" s="211"/>
      <c r="Q2494" s="261"/>
      <c r="R2494" s="208" t="str">
        <f ca="1">IF(ISERROR($V2494),"",OFFSET('Smelter Look-up'!$C$4,$V2494-4,0)&amp;"")</f>
        <v/>
      </c>
      <c r="S2494" s="215" t="str">
        <f t="shared" ref="S2494:S2505" ca="1" si="354">IF(B2494="","",IF(ISERROR(MATCH($E2494,CL,0)),"Unknown",INDIRECT("'C'!$A$"&amp;MATCH($E2494,CL,0)+1)))</f>
        <v/>
      </c>
      <c r="T2494" s="215" t="str">
        <f ca="1">IF(B2494="","",IF(ISERROR(MATCH($J2494,SorP!$B$1:$B$6230,0)),"",INDIRECT("'SorP'!$A$"&amp;MATCH($J2494,SorP!$B$1:$B$6230,0))))</f>
        <v/>
      </c>
      <c r="U2494" s="231"/>
      <c r="V2494" s="262" t="e">
        <f>IF(C2494="",NA(),IF(OR(C2494="Smelter not listed",C2494="Smelter not yet identified"),MATCH($B2494&amp;$D2494,'Smelter Look-up'!$J:$J,0),MATCH($B2494&amp;$C2494,'Smelter Look-up'!$J:$J,0)))</f>
        <v>#N/A</v>
      </c>
      <c r="W2494" s="263"/>
      <c r="X2494" s="263"/>
      <c r="Y2494" s="263"/>
      <c r="Z2494" s="263"/>
      <c r="AB2494" s="265"/>
    </row>
    <row r="2495" spans="1:28" s="264" customFormat="1" ht="20.399999999999999">
      <c r="A2495" s="207"/>
      <c r="B2495" s="208"/>
      <c r="C2495" s="212"/>
      <c r="D2495" s="270"/>
      <c r="E2495" s="208"/>
      <c r="F2495" s="208"/>
      <c r="G2495" s="208"/>
      <c r="H2495" s="209"/>
      <c r="I2495" s="210"/>
      <c r="J2495" s="210"/>
      <c r="K2495" s="260"/>
      <c r="L2495" s="260"/>
      <c r="M2495" s="260"/>
      <c r="N2495" s="260"/>
      <c r="O2495" s="260"/>
      <c r="P2495" s="211"/>
      <c r="Q2495" s="261"/>
      <c r="R2495" s="208" t="str">
        <f ca="1">IF(ISERROR($V2495),"",OFFSET('Smelter Look-up'!$C$4,$V2495-4,0)&amp;"")</f>
        <v/>
      </c>
      <c r="S2495" s="215" t="str">
        <f t="shared" ca="1" si="354"/>
        <v/>
      </c>
      <c r="T2495" s="215" t="str">
        <f ca="1">IF(B2495="","",IF(ISERROR(MATCH($J2495,SorP!$B$1:$B$6230,0)),"",INDIRECT("'SorP'!$A$"&amp;MATCH($J2495,SorP!$B$1:$B$6230,0))))</f>
        <v/>
      </c>
      <c r="U2495" s="231"/>
      <c r="V2495" s="262" t="e">
        <f>IF(C2495="",NA(),IF(OR(C2495="Smelter not listed",C2495="Smelter not yet identified"),MATCH($B2495&amp;$D2495,'Smelter Look-up'!$J:$J,0),MATCH($B2495&amp;$C2495,'Smelter Look-up'!$J:$J,0)))</f>
        <v>#N/A</v>
      </c>
      <c r="W2495" s="263"/>
      <c r="X2495" s="263"/>
      <c r="Y2495" s="263"/>
      <c r="Z2495" s="263"/>
      <c r="AB2495" s="265"/>
    </row>
    <row r="2496" spans="1:28" s="264" customFormat="1" ht="20.399999999999999">
      <c r="A2496" s="207"/>
      <c r="B2496" s="208"/>
      <c r="C2496" s="212"/>
      <c r="D2496" s="270"/>
      <c r="E2496" s="208"/>
      <c r="F2496" s="208"/>
      <c r="G2496" s="208"/>
      <c r="H2496" s="209"/>
      <c r="I2496" s="210"/>
      <c r="J2496" s="210"/>
      <c r="K2496" s="260"/>
      <c r="L2496" s="260"/>
      <c r="M2496" s="260"/>
      <c r="N2496" s="260"/>
      <c r="O2496" s="260"/>
      <c r="P2496" s="211"/>
      <c r="Q2496" s="261"/>
      <c r="R2496" s="208" t="str">
        <f ca="1">IF(ISERROR($V2496),"",OFFSET('Smelter Look-up'!$C$4,$V2496-4,0)&amp;"")</f>
        <v/>
      </c>
      <c r="S2496" s="215" t="str">
        <f t="shared" ca="1" si="354"/>
        <v/>
      </c>
      <c r="T2496" s="215" t="str">
        <f ca="1">IF(B2496="","",IF(ISERROR(MATCH($J2496,SorP!$B$1:$B$6230,0)),"",INDIRECT("'SorP'!$A$"&amp;MATCH($J2496,SorP!$B$1:$B$6230,0))))</f>
        <v/>
      </c>
      <c r="U2496" s="231"/>
      <c r="V2496" s="262" t="e">
        <f>IF(C2496="",NA(),IF(OR(C2496="Smelter not listed",C2496="Smelter not yet identified"),MATCH($B2496&amp;$D2496,'Smelter Look-up'!$J:$J,0),MATCH($B2496&amp;$C2496,'Smelter Look-up'!$J:$J,0)))</f>
        <v>#N/A</v>
      </c>
      <c r="W2496" s="263"/>
      <c r="X2496" s="263"/>
      <c r="Y2496" s="263"/>
      <c r="Z2496" s="263"/>
      <c r="AB2496" s="265"/>
    </row>
    <row r="2497" spans="1:28" s="264" customFormat="1" ht="20.399999999999999">
      <c r="A2497" s="207"/>
      <c r="B2497" s="208"/>
      <c r="C2497" s="212"/>
      <c r="D2497" s="270"/>
      <c r="E2497" s="208"/>
      <c r="F2497" s="208"/>
      <c r="G2497" s="208"/>
      <c r="H2497" s="209"/>
      <c r="I2497" s="210"/>
      <c r="J2497" s="210"/>
      <c r="K2497" s="260"/>
      <c r="L2497" s="260"/>
      <c r="M2497" s="260"/>
      <c r="N2497" s="260"/>
      <c r="O2497" s="260"/>
      <c r="P2497" s="211"/>
      <c r="Q2497" s="261"/>
      <c r="R2497" s="208" t="str">
        <f ca="1">IF(ISERROR($V2497),"",OFFSET('Smelter Look-up'!$C$4,$V2497-4,0)&amp;"")</f>
        <v/>
      </c>
      <c r="S2497" s="215" t="str">
        <f t="shared" ca="1" si="354"/>
        <v/>
      </c>
      <c r="T2497" s="215" t="str">
        <f ca="1">IF(B2497="","",IF(ISERROR(MATCH($J2497,SorP!$B$1:$B$6230,0)),"",INDIRECT("'SorP'!$A$"&amp;MATCH($J2497,SorP!$B$1:$B$6230,0))))</f>
        <v/>
      </c>
      <c r="U2497" s="231"/>
      <c r="V2497" s="262" t="e">
        <f>IF(C2497="",NA(),IF(OR(C2497="Smelter not listed",C2497="Smelter not yet identified"),MATCH($B2497&amp;$D2497,'Smelter Look-up'!$J:$J,0),MATCH($B2497&amp;$C2497,'Smelter Look-up'!$J:$J,0)))</f>
        <v>#N/A</v>
      </c>
      <c r="W2497" s="263"/>
      <c r="X2497" s="263"/>
      <c r="Y2497" s="263"/>
      <c r="Z2497" s="263"/>
      <c r="AB2497" s="265"/>
    </row>
    <row r="2498" spans="1:28" s="264" customFormat="1" ht="20.399999999999999">
      <c r="A2498" s="207"/>
      <c r="B2498" s="208"/>
      <c r="C2498" s="212"/>
      <c r="D2498" s="270"/>
      <c r="E2498" s="208"/>
      <c r="F2498" s="208"/>
      <c r="G2498" s="208"/>
      <c r="H2498" s="209"/>
      <c r="I2498" s="210"/>
      <c r="J2498" s="210"/>
      <c r="K2498" s="260"/>
      <c r="L2498" s="260"/>
      <c r="M2498" s="260"/>
      <c r="N2498" s="260"/>
      <c r="O2498" s="260"/>
      <c r="P2498" s="211"/>
      <c r="Q2498" s="261"/>
      <c r="R2498" s="208" t="str">
        <f ca="1">IF(ISERROR($V2498),"",OFFSET('Smelter Look-up'!$C$4,$V2498-4,0)&amp;"")</f>
        <v/>
      </c>
      <c r="S2498" s="215" t="str">
        <f t="shared" ca="1" si="354"/>
        <v/>
      </c>
      <c r="T2498" s="215" t="str">
        <f ca="1">IF(B2498="","",IF(ISERROR(MATCH($J2498,SorP!$B$1:$B$6230,0)),"",INDIRECT("'SorP'!$A$"&amp;MATCH($J2498,SorP!$B$1:$B$6230,0))))</f>
        <v/>
      </c>
      <c r="U2498" s="231"/>
      <c r="V2498" s="262" t="e">
        <f>IF(C2498="",NA(),IF(OR(C2498="Smelter not listed",C2498="Smelter not yet identified"),MATCH($B2498&amp;$D2498,'Smelter Look-up'!$J:$J,0),MATCH($B2498&amp;$C2498,'Smelter Look-up'!$J:$J,0)))</f>
        <v>#N/A</v>
      </c>
      <c r="W2498" s="263"/>
      <c r="X2498" s="263"/>
      <c r="Y2498" s="263"/>
      <c r="Z2498" s="263"/>
      <c r="AB2498" s="265"/>
    </row>
    <row r="2499" spans="1:28" s="264" customFormat="1" ht="20.399999999999999">
      <c r="A2499" s="207"/>
      <c r="B2499" s="208"/>
      <c r="C2499" s="212"/>
      <c r="D2499" s="270"/>
      <c r="E2499" s="208"/>
      <c r="F2499" s="208"/>
      <c r="G2499" s="208"/>
      <c r="H2499" s="209"/>
      <c r="I2499" s="210"/>
      <c r="J2499" s="210"/>
      <c r="K2499" s="260"/>
      <c r="L2499" s="260"/>
      <c r="M2499" s="260"/>
      <c r="N2499" s="260"/>
      <c r="O2499" s="260"/>
      <c r="P2499" s="211"/>
      <c r="Q2499" s="261"/>
      <c r="R2499" s="208" t="str">
        <f ca="1">IF(ISERROR($V2499),"",OFFSET('Smelter Look-up'!$C$4,$V2499-4,0)&amp;"")</f>
        <v/>
      </c>
      <c r="S2499" s="215" t="str">
        <f t="shared" ca="1" si="354"/>
        <v/>
      </c>
      <c r="T2499" s="215" t="str">
        <f ca="1">IF(B2499="","",IF(ISERROR(MATCH($J2499,SorP!$B$1:$B$6230,0)),"",INDIRECT("'SorP'!$A$"&amp;MATCH($J2499,SorP!$B$1:$B$6230,0))))</f>
        <v/>
      </c>
      <c r="U2499" s="231"/>
      <c r="V2499" s="262" t="e">
        <f>IF(C2499="",NA(),IF(OR(C2499="Smelter not listed",C2499="Smelter not yet identified"),MATCH($B2499&amp;$D2499,'Smelter Look-up'!$J:$J,0),MATCH($B2499&amp;$C2499,'Smelter Look-up'!$J:$J,0)))</f>
        <v>#N/A</v>
      </c>
      <c r="W2499" s="263"/>
      <c r="X2499" s="263"/>
      <c r="Y2499" s="263"/>
      <c r="Z2499" s="263"/>
      <c r="AB2499" s="265"/>
    </row>
    <row r="2500" spans="1:28" s="264" customFormat="1" ht="20.399999999999999">
      <c r="A2500" s="207"/>
      <c r="B2500" s="208"/>
      <c r="C2500" s="212"/>
      <c r="D2500" s="270"/>
      <c r="E2500" s="208"/>
      <c r="F2500" s="208"/>
      <c r="G2500" s="208"/>
      <c r="H2500" s="209"/>
      <c r="I2500" s="210"/>
      <c r="J2500" s="210"/>
      <c r="K2500" s="260"/>
      <c r="L2500" s="260"/>
      <c r="M2500" s="260"/>
      <c r="N2500" s="260"/>
      <c r="O2500" s="260"/>
      <c r="P2500" s="211"/>
      <c r="Q2500" s="261"/>
      <c r="R2500" s="208" t="str">
        <f ca="1">IF(ISERROR($V2500),"",OFFSET('Smelter Look-up'!$C$4,$V2500-4,0)&amp;"")</f>
        <v/>
      </c>
      <c r="S2500" s="215" t="str">
        <f t="shared" ca="1" si="354"/>
        <v/>
      </c>
      <c r="T2500" s="215" t="str">
        <f ca="1">IF(B2500="","",IF(ISERROR(MATCH($J2500,SorP!$B$1:$B$6230,0)),"",INDIRECT("'SorP'!$A$"&amp;MATCH($J2500,SorP!$B$1:$B$6230,0))))</f>
        <v/>
      </c>
      <c r="U2500" s="231"/>
      <c r="V2500" s="262" t="e">
        <f>IF(C2500="",NA(),IF(OR(C2500="Smelter not listed",C2500="Smelter not yet identified"),MATCH($B2500&amp;$D2500,'Smelter Look-up'!$J:$J,0),MATCH($B2500&amp;$C2500,'Smelter Look-up'!$J:$J,0)))</f>
        <v>#N/A</v>
      </c>
      <c r="W2500" s="263"/>
      <c r="X2500" s="263"/>
      <c r="Y2500" s="263"/>
      <c r="Z2500" s="263"/>
      <c r="AB2500" s="265"/>
    </row>
    <row r="2501" spans="1:28" s="264" customFormat="1" ht="20.399999999999999">
      <c r="A2501" s="207"/>
      <c r="B2501" s="208"/>
      <c r="C2501" s="212"/>
      <c r="D2501" s="270"/>
      <c r="E2501" s="208"/>
      <c r="F2501" s="208"/>
      <c r="G2501" s="208"/>
      <c r="H2501" s="209"/>
      <c r="I2501" s="210"/>
      <c r="J2501" s="210"/>
      <c r="K2501" s="260"/>
      <c r="L2501" s="260"/>
      <c r="M2501" s="260"/>
      <c r="N2501" s="260"/>
      <c r="O2501" s="260"/>
      <c r="P2501" s="211"/>
      <c r="Q2501" s="261"/>
      <c r="R2501" s="208" t="str">
        <f ca="1">IF(ISERROR($V2501),"",OFFSET('Smelter Look-up'!$C$4,$V2501-4,0)&amp;"")</f>
        <v/>
      </c>
      <c r="S2501" s="215" t="str">
        <f t="shared" ca="1" si="354"/>
        <v/>
      </c>
      <c r="T2501" s="215" t="str">
        <f ca="1">IF(B2501="","",IF(ISERROR(MATCH($J2501,SorP!$B$1:$B$6230,0)),"",INDIRECT("'SorP'!$A$"&amp;MATCH($J2501,SorP!$B$1:$B$6230,0))))</f>
        <v/>
      </c>
      <c r="U2501" s="231"/>
      <c r="V2501" s="262" t="e">
        <f>IF(C2501="",NA(),IF(OR(C2501="Smelter not listed",C2501="Smelter not yet identified"),MATCH($B2501&amp;$D2501,'Smelter Look-up'!$J:$J,0),MATCH($B2501&amp;$C2501,'Smelter Look-up'!$J:$J,0)))</f>
        <v>#N/A</v>
      </c>
      <c r="W2501" s="263"/>
      <c r="X2501" s="263"/>
      <c r="Y2501" s="263"/>
      <c r="Z2501" s="263"/>
      <c r="AB2501" s="265"/>
    </row>
    <row r="2502" spans="1:28" s="264" customFormat="1" ht="20.399999999999999">
      <c r="A2502" s="207"/>
      <c r="B2502" s="208"/>
      <c r="C2502" s="212"/>
      <c r="D2502" s="270"/>
      <c r="E2502" s="208"/>
      <c r="F2502" s="208"/>
      <c r="G2502" s="208"/>
      <c r="H2502" s="209"/>
      <c r="I2502" s="210"/>
      <c r="J2502" s="210"/>
      <c r="K2502" s="260"/>
      <c r="L2502" s="260"/>
      <c r="M2502" s="260"/>
      <c r="N2502" s="260"/>
      <c r="O2502" s="260"/>
      <c r="P2502" s="211"/>
      <c r="Q2502" s="261"/>
      <c r="R2502" s="208" t="str">
        <f ca="1">IF(ISERROR($V2502),"",OFFSET('Smelter Look-up'!$C$4,$V2502-4,0)&amp;"")</f>
        <v/>
      </c>
      <c r="S2502" s="215" t="str">
        <f t="shared" ca="1" si="354"/>
        <v/>
      </c>
      <c r="T2502" s="215" t="str">
        <f ca="1">IF(B2502="","",IF(ISERROR(MATCH($J2502,SorP!$B$1:$B$6230,0)),"",INDIRECT("'SorP'!$A$"&amp;MATCH($J2502,SorP!$B$1:$B$6230,0))))</f>
        <v/>
      </c>
      <c r="U2502" s="231"/>
      <c r="V2502" s="262" t="e">
        <f>IF(C2502="",NA(),IF(OR(C2502="Smelter not listed",C2502="Smelter not yet identified"),MATCH($B2502&amp;$D2502,'Smelter Look-up'!$J:$J,0),MATCH($B2502&amp;$C2502,'Smelter Look-up'!$J:$J,0)))</f>
        <v>#N/A</v>
      </c>
      <c r="W2502" s="263"/>
      <c r="X2502" s="263"/>
      <c r="Y2502" s="263"/>
      <c r="Z2502" s="263"/>
      <c r="AB2502" s="265"/>
    </row>
    <row r="2503" spans="1:28" s="264" customFormat="1" ht="20.399999999999999">
      <c r="A2503" s="207"/>
      <c r="B2503" s="208"/>
      <c r="C2503" s="212"/>
      <c r="D2503" s="270"/>
      <c r="E2503" s="208"/>
      <c r="F2503" s="208"/>
      <c r="G2503" s="208"/>
      <c r="H2503" s="209"/>
      <c r="I2503" s="210"/>
      <c r="J2503" s="210"/>
      <c r="K2503" s="260"/>
      <c r="L2503" s="260"/>
      <c r="M2503" s="260"/>
      <c r="N2503" s="260"/>
      <c r="O2503" s="260"/>
      <c r="P2503" s="211"/>
      <c r="Q2503" s="261"/>
      <c r="R2503" s="208" t="str">
        <f ca="1">IF(ISERROR($V2503),"",OFFSET('Smelter Look-up'!$C$4,$V2503-4,0)&amp;"")</f>
        <v/>
      </c>
      <c r="S2503" s="215" t="str">
        <f t="shared" ca="1" si="354"/>
        <v/>
      </c>
      <c r="T2503" s="215" t="str">
        <f ca="1">IF(B2503="","",IF(ISERROR(MATCH($J2503,SorP!$B$1:$B$6230,0)),"",INDIRECT("'SorP'!$A$"&amp;MATCH($J2503,SorP!$B$1:$B$6230,0))))</f>
        <v/>
      </c>
      <c r="U2503" s="231"/>
      <c r="V2503" s="262" t="e">
        <f>IF(C2503="",NA(),IF(OR(C2503="Smelter not listed",C2503="Smelter not yet identified"),MATCH($B2503&amp;$D2503,'Smelter Look-up'!$J:$J,0),MATCH($B2503&amp;$C2503,'Smelter Look-up'!$J:$J,0)))</f>
        <v>#N/A</v>
      </c>
      <c r="W2503" s="263"/>
      <c r="X2503" s="263"/>
      <c r="Y2503" s="263"/>
      <c r="Z2503" s="263"/>
      <c r="AB2503" s="265"/>
    </row>
    <row r="2504" spans="1:28" s="264" customFormat="1" ht="20.399999999999999">
      <c r="A2504" s="207"/>
      <c r="B2504" s="208"/>
      <c r="C2504" s="212"/>
      <c r="D2504" s="270"/>
      <c r="E2504" s="208"/>
      <c r="F2504" s="208"/>
      <c r="G2504" s="208"/>
      <c r="H2504" s="209"/>
      <c r="I2504" s="210"/>
      <c r="J2504" s="210"/>
      <c r="K2504" s="260"/>
      <c r="L2504" s="260"/>
      <c r="M2504" s="260"/>
      <c r="N2504" s="260"/>
      <c r="O2504" s="260"/>
      <c r="P2504" s="211"/>
      <c r="Q2504" s="261"/>
      <c r="R2504" s="208" t="str">
        <f ca="1">IF(ISERROR($V2504),"",OFFSET('Smelter Look-up'!$C$4,$V2504-4,0)&amp;"")</f>
        <v/>
      </c>
      <c r="S2504" s="215" t="str">
        <f t="shared" ca="1" si="354"/>
        <v/>
      </c>
      <c r="T2504" s="215" t="str">
        <f ca="1">IF(B2504="","",IF(ISERROR(MATCH($J2504,SorP!$B$1:$B$6230,0)),"",INDIRECT("'SorP'!$A$"&amp;MATCH($J2504,SorP!$B$1:$B$6230,0))))</f>
        <v/>
      </c>
      <c r="U2504" s="231"/>
      <c r="V2504" s="262" t="e">
        <f>IF(C2504="",NA(),IF(OR(C2504="Smelter not listed",C2504="Smelter not yet identified"),MATCH($B2504&amp;$D2504,'Smelter Look-up'!$J:$J,0),MATCH($B2504&amp;$C2504,'Smelter Look-up'!$J:$J,0)))</f>
        <v>#N/A</v>
      </c>
      <c r="W2504" s="263"/>
      <c r="X2504" s="263">
        <f>IF(AND(C2504="Smelter not listed",OR(LEN(D2504)=0,LEN(E2504)=0)),1,0)</f>
        <v>0</v>
      </c>
      <c r="Y2504" s="263"/>
      <c r="Z2504" s="263"/>
      <c r="AB2504" s="265" t="str">
        <f>B2504&amp;C2504</f>
        <v/>
      </c>
    </row>
    <row r="2505" spans="1:28" ht="13.8" thickBot="1">
      <c r="A2505" s="284"/>
      <c r="B2505" s="266"/>
      <c r="C2505" s="266"/>
      <c r="D2505" s="267"/>
      <c r="E2505" s="267"/>
      <c r="F2505" s="267"/>
      <c r="G2505" s="267"/>
      <c r="H2505" s="267"/>
      <c r="I2505" s="267"/>
      <c r="J2505" s="267"/>
      <c r="K2505" s="267"/>
      <c r="L2505" s="267"/>
      <c r="M2505" s="267"/>
      <c r="N2505" s="267"/>
      <c r="O2505" s="267"/>
      <c r="P2505" s="267"/>
      <c r="Q2505" s="232"/>
      <c r="R2505" s="208"/>
      <c r="S2505" s="215" t="str">
        <f t="shared" ca="1" si="354"/>
        <v/>
      </c>
      <c r="T2505" s="215" t="str">
        <f ca="1">IF(B2505="","",IF(ISERROR(MATCH($J2505,SorP!$B$1:$B$6230,0)),"",INDIRECT("'SorP'!$A$"&amp;MATCH($J2505,SorP!$B$1:$B$6230,0))))</f>
        <v/>
      </c>
      <c r="AB2505" s="264" t="str">
        <f>B2505&amp;C2505</f>
        <v/>
      </c>
    </row>
    <row r="2506" spans="1:28" ht="13.2" thickTop="1">
      <c r="U2506" s="269"/>
      <c r="V2506" s="269"/>
      <c r="W2506" s="269"/>
      <c r="X2506" s="269"/>
      <c r="Y2506" s="269"/>
      <c r="Z2506" s="269"/>
    </row>
    <row r="2507" spans="1:28">
      <c r="U2507" s="269"/>
      <c r="V2507" s="269"/>
      <c r="W2507" s="269"/>
      <c r="X2507" s="269"/>
      <c r="Y2507" s="269"/>
      <c r="Z2507" s="269"/>
    </row>
    <row r="2508" spans="1:28" ht="13.2" thickBot="1">
      <c r="U2508" s="269"/>
      <c r="V2508" s="269"/>
      <c r="W2508" s="269"/>
      <c r="X2508" s="269"/>
      <c r="Y2508" s="269"/>
      <c r="Z2508" s="269"/>
    </row>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93D3472E-2538-4067-A383-E8898D6CDA19}"/>
    </customSheetView>
  </customSheetViews>
  <mergeCells count="3">
    <mergeCell ref="J2:O2"/>
    <mergeCell ref="B3:E3"/>
    <mergeCell ref="G3:I3"/>
  </mergeCells>
  <phoneticPr fontId="99"/>
  <conditionalFormatting sqref="B586:B2504">
    <cfRule type="expression" dxfId="36" priority="38" stopIfTrue="1">
      <formula>IF(B586="",TRUE)</formula>
    </cfRule>
    <cfRule type="expression" dxfId="35" priority="49" stopIfTrue="1">
      <formula>IF(AND(COUNTIF(MetalSmelter,B586&amp;C586)=0,LEN(C586)&gt;0),TRUE,FALSE)</formula>
    </cfRule>
  </conditionalFormatting>
  <conditionalFormatting sqref="R586:R2505 E586:E2504">
    <cfRule type="expression" dxfId="34" priority="45" stopIfTrue="1">
      <formula>IF(AND(E586="",$C586=$X$4),TRUE)</formula>
    </cfRule>
    <cfRule type="expression" dxfId="33" priority="46" stopIfTrue="1">
      <formula>IF(FIND("!",E586),TRUE)</formula>
    </cfRule>
  </conditionalFormatting>
  <conditionalFormatting sqref="F586:F2504">
    <cfRule type="expression" dxfId="32" priority="36" stopIfTrue="1">
      <formula>IF(AND(LEN($A586)&gt;0,$A586&lt;&gt;$F586),TRUE,FALSE)</formula>
    </cfRule>
  </conditionalFormatting>
  <conditionalFormatting sqref="C586:C2504">
    <cfRule type="expression" dxfId="31" priority="35" stopIfTrue="1">
      <formula>IF(AND(B586&lt;&gt;"",C586=""),TRUE)</formula>
    </cfRule>
  </conditionalFormatting>
  <conditionalFormatting sqref="B21:B585 B5:B19">
    <cfRule type="expression" dxfId="30" priority="14" stopIfTrue="1">
      <formula>IF(B5="",TRUE)</formula>
    </cfRule>
    <cfRule type="expression" dxfId="29" priority="17" stopIfTrue="1">
      <formula>IF(AND(COUNTIF(MetalSmelter,B5&amp;C5)=0,LEN(C5)&gt;0),TRUE,FALSE)</formula>
    </cfRule>
  </conditionalFormatting>
  <conditionalFormatting sqref="G5:G2504">
    <cfRule type="expression" dxfId="28" priority="20" stopIfTrue="1">
      <formula>IF(FIND("Enter smelter details",G5),TRUE)</formula>
    </cfRule>
  </conditionalFormatting>
  <conditionalFormatting sqref="R5:R585 E21:E585 E5:E19">
    <cfRule type="expression" dxfId="27" priority="15" stopIfTrue="1">
      <formula>IF(AND(E5="",$C5=$X$4),TRUE)</formula>
    </cfRule>
    <cfRule type="expression" dxfId="26" priority="16" stopIfTrue="1">
      <formula>IF(FIND("!",E5),TRUE)</formula>
    </cfRule>
  </conditionalFormatting>
  <conditionalFormatting sqref="F5:F19 F21:F585">
    <cfRule type="expression" dxfId="25" priority="13" stopIfTrue="1">
      <formula>IF(AND(LEN($A5)&gt;0,$A5&lt;&gt;$F5),TRUE,FALSE)</formula>
    </cfRule>
  </conditionalFormatting>
  <conditionalFormatting sqref="C21:C585 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504">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paperSize="9" scale="51"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90625" defaultRowHeight="12.6"/>
  <cols>
    <col min="1" max="1" width="45.08984375" style="22" customWidth="1"/>
    <col min="2" max="2" width="42.90625" style="25" customWidth="1"/>
    <col min="3" max="3" width="51.6328125" style="22" customWidth="1"/>
    <col min="4" max="4" width="29.08984375" style="25" customWidth="1"/>
    <col min="5" max="5" width="9" style="24" customWidth="1"/>
    <col min="6" max="6" width="13.6328125" style="22" hidden="1" customWidth="1"/>
    <col min="7" max="7" width="13.36328125" style="22" hidden="1" customWidth="1"/>
    <col min="8" max="8" width="9" style="22" hidden="1" customWidth="1"/>
    <col min="9" max="9" width="9" style="169" hidden="1" customWidth="1"/>
    <col min="10" max="10" width="48.90625" style="22" hidden="1" customWidth="1"/>
    <col min="11" max="11" width="9" style="22" hidden="1" customWidth="1"/>
    <col min="12" max="15" width="8.90625" style="22" hidden="1" customWidth="1"/>
    <col min="16" max="18" width="8.90625" style="22" customWidth="1"/>
    <col min="19" max="16384" width="8.90625" style="22"/>
  </cols>
  <sheetData>
    <row r="1" spans="1:10" ht="32.4">
      <c r="A1" s="456" t="str">
        <f ca="1">OFFSET(L!$C$1,MATCH("Checker"&amp;ADDRESS(ROW(),COLUMN(),4),L!$A:$A,0)-1,SL,,)</f>
        <v>To ensure all required fields have been populated before submitting to your customers review form for any line items highlighted in red</v>
      </c>
      <c r="B1" s="456"/>
      <c r="C1" s="456"/>
      <c r="D1" s="140" t="str">
        <f ca="1">OFFSET(L!$C$1,MATCH("Checker"&amp;ADDRESS(ROW(),COLUMN(),4),L!$A:$A,0)-1,SL,,)</f>
        <v>Required fields remaining to be completed</v>
      </c>
      <c r="E1" s="81" t="s">
        <v>806</v>
      </c>
    </row>
    <row r="2" spans="1:10" ht="16.2">
      <c r="A2" s="74" t="s">
        <v>898</v>
      </c>
      <c r="B2" s="75" t="str">
        <f>IF(F65=1,"Click here to return to Smelter List","")</f>
        <v/>
      </c>
      <c r="C2" s="143" t="str">
        <f>IF(F65=1,"Click here to return to Product List","")</f>
        <v/>
      </c>
      <c r="D2" s="174" t="str">
        <f ca="1">IF(H70=0,"0",H70)</f>
        <v>0</v>
      </c>
    </row>
    <row r="3" spans="1:10" ht="16.2">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527</v>
      </c>
      <c r="G3" s="22" t="s">
        <v>526</v>
      </c>
      <c r="H3" s="22" t="s">
        <v>528</v>
      </c>
      <c r="I3" s="169" t="s">
        <v>1317</v>
      </c>
      <c r="J3" s="22" t="s">
        <v>1318</v>
      </c>
    </row>
    <row r="4" spans="1:10" ht="39">
      <c r="A4" s="100" t="str">
        <f ca="1">Declaration!B8</f>
        <v>Company Name (*):</v>
      </c>
      <c r="B4" s="99" t="str">
        <f>Declaration!D8</f>
        <v>TDS Co., Ltd.</v>
      </c>
      <c r="C4" s="99" t="str">
        <f t="shared" ref="C4" ca="1" si="0">IF(H4=1,J4,I4)</f>
        <v>Complete</v>
      </c>
      <c r="D4" s="105" t="str">
        <f>IF(H4=1,"Click here to enter Company Name","")</f>
        <v/>
      </c>
      <c r="E4" s="81" t="s">
        <v>1307</v>
      </c>
      <c r="F4" s="103">
        <v>1</v>
      </c>
      <c r="G4" s="78">
        <f t="shared" ref="G4" si="1">IF(B4=0,1,0)</f>
        <v>0</v>
      </c>
      <c r="H4" s="79">
        <f>F4*G4</f>
        <v>0</v>
      </c>
      <c r="I4" s="170" t="str">
        <f ca="1">OFFSET(L!$C$1,MATCH("Checker"&amp;"Comp",L!$A:$A,0)-1,SL,,)</f>
        <v>Complete</v>
      </c>
      <c r="J4" s="171" t="str">
        <f ca="1">OFFSET(L!$C$1,MATCH("Checker"&amp;ADDRESS(ROW(),COLUMN(),4),L!$A:$A,0)-1,SL,,)</f>
        <v>Provide your company name on the Declaration tab cell D8</v>
      </c>
    </row>
    <row r="5" spans="1:10" ht="39">
      <c r="A5" s="100" t="str">
        <f ca="1">Declaration!B9</f>
        <v>Declaration Scope or Class (*):</v>
      </c>
      <c r="B5" s="99" t="str">
        <f>Declaration!D9</f>
        <v>B. Product (or List of Products)</v>
      </c>
      <c r="C5" s="99" t="str">
        <f ca="1">IF(H5=1,J5,I5)</f>
        <v>Complete</v>
      </c>
      <c r="D5" s="105" t="str">
        <f>IF(H5=1,"Click here to enter Declaration Scope","")</f>
        <v/>
      </c>
      <c r="E5" s="81" t="s">
        <v>1307</v>
      </c>
      <c r="F5" s="103">
        <v>1</v>
      </c>
      <c r="G5" s="78">
        <f>IF(B5=0,1,0)</f>
        <v>0</v>
      </c>
      <c r="H5" s="79">
        <f t="shared" ref="H5" si="2">F5*G5</f>
        <v>0</v>
      </c>
      <c r="I5" s="170" t="str">
        <f ca="1">OFFSET(L!$C$1,MATCH("Checker"&amp;"Comp",L!$A:$A,0)-1,SL,,)</f>
        <v>Complete</v>
      </c>
      <c r="J5" s="171" t="str">
        <f ca="1">OFFSET(L!$C$1,MATCH("Checker"&amp;ADDRESS(ROW(),COLUMN(),4),L!$A:$A,0)-1,SL,,)</f>
        <v>Select the scope of declaration on the Declaration tab cell D9</v>
      </c>
    </row>
    <row r="6" spans="1:10" ht="39">
      <c r="A6" s="100" t="str">
        <f ca="1">Declaration!B10</f>
        <v>Go to Product List tab to enter products this declaration applies to</v>
      </c>
      <c r="B6" s="99">
        <f>Declaration!D10</f>
        <v>0</v>
      </c>
      <c r="C6" s="99" t="str">
        <f ca="1">IF(H6=1,J6,I6)</f>
        <v>Complete</v>
      </c>
      <c r="D6" s="105" t="str">
        <f>IF(H6=1,"Click here to provide a Description of Scope","")</f>
        <v/>
      </c>
      <c r="E6" s="81" t="s">
        <v>1307</v>
      </c>
      <c r="F6" s="104">
        <f>IF(OR(B5=Declaration!P9,B5=Declaration!Q9,B5=0),0,1)</f>
        <v>0</v>
      </c>
      <c r="G6" s="78">
        <f>IF(B6=0,1,0)</f>
        <v>1</v>
      </c>
      <c r="H6" s="79">
        <f t="shared" ref="H6:H17" si="3">F6*G6</f>
        <v>0</v>
      </c>
      <c r="I6" s="170" t="str">
        <f ca="1">OFFSET(L!$C$1,MATCH("Checker"&amp;"Comp",L!$A:$A,0)-1,SL,,)</f>
        <v>Complete</v>
      </c>
      <c r="J6" s="22" t="str">
        <f ca="1">OFFSET(L!$C$1,MATCH("Checker"&amp;ADDRESS(ROW(),COLUMN(),4),L!$A:$A,0)-1,SL,,)</f>
        <v>Provide description of scope on Declaration tab cell D10</v>
      </c>
    </row>
    <row r="7" spans="1:10" ht="39">
      <c r="A7" s="100" t="str">
        <f ca="1">Declaration!B15</f>
        <v>Contact Name (*):</v>
      </c>
      <c r="B7" s="99" t="str">
        <f>Declaration!D15</f>
        <v>Kazuaki Maruyama</v>
      </c>
      <c r="C7" s="99" t="str">
        <f ca="1">IF(H7=1,J7,I7)</f>
        <v>Complete</v>
      </c>
      <c r="D7" s="105" t="str">
        <f>IF(H7=1,"Click here to enter Contact Name","")</f>
        <v/>
      </c>
      <c r="E7" s="81" t="s">
        <v>1307</v>
      </c>
      <c r="F7" s="142">
        <v>1</v>
      </c>
      <c r="G7" s="78">
        <f>IF(B7=0,1,0)</f>
        <v>0</v>
      </c>
      <c r="H7" s="79">
        <f t="shared" si="3"/>
        <v>0</v>
      </c>
      <c r="I7" s="170" t="str">
        <f ca="1">OFFSET(L!$C$1,MATCH("Checker"&amp;"Comp",L!$A:$A,0)-1,SL,,)</f>
        <v>Complete</v>
      </c>
      <c r="J7" s="22" t="str">
        <f ca="1">OFFSET(L!$C$1,MATCH("Checker"&amp;ADDRESS(ROW(),COLUMN(),4),L!$A:$A,0)-1,SL,,)</f>
        <v>Provide contact name in Declaration tab cell D15</v>
      </c>
    </row>
    <row r="8" spans="1:10" ht="39">
      <c r="A8" s="100" t="str">
        <f ca="1">Declaration!B16</f>
        <v>Email – Contact (*):</v>
      </c>
      <c r="B8" s="99" t="str">
        <f>Declaration!D16</f>
        <v>kagakubussitu@tdsjp.co.jp</v>
      </c>
      <c r="C8" s="99" t="str">
        <f ca="1">IF(H8=1,J8,I8)</f>
        <v>Complete</v>
      </c>
      <c r="D8" s="105" t="str">
        <f>IF(H8=1,"Click here to enter Email-Contact","")</f>
        <v/>
      </c>
      <c r="E8" s="81" t="s">
        <v>1307</v>
      </c>
      <c r="F8" s="142">
        <v>1</v>
      </c>
      <c r="G8" s="78">
        <f>IF(ISNUMBER(SEARCH("@",B8)),0,1)</f>
        <v>0</v>
      </c>
      <c r="H8" s="79">
        <f t="shared" si="3"/>
        <v>0</v>
      </c>
      <c r="I8" s="170" t="str">
        <f ca="1">OFFSET(L!$C$1,MATCH("Checker"&amp;"Comp",L!$A:$A,0)-1,SL,,)</f>
        <v>Complete</v>
      </c>
      <c r="J8" s="22" t="str">
        <f ca="1">OFFSET(L!$C$1,MATCH("Checker"&amp;ADDRESS(ROW(),COLUMN(),4),L!$A:$A,0)-1,SL,,)</f>
        <v>Provide a valid email for contact in Declaration tab cell D16</v>
      </c>
    </row>
    <row r="9" spans="1:10" ht="39">
      <c r="A9" s="100" t="str">
        <f ca="1">Declaration!B17</f>
        <v>Phone – Contact (*):</v>
      </c>
      <c r="B9" s="346" t="str">
        <f>Declaration!D17</f>
        <v>+81-266-23-4504</v>
      </c>
      <c r="C9" s="99" t="str">
        <f ca="1">IF(H9=1,J9,I9)</f>
        <v>Complete</v>
      </c>
      <c r="D9" s="105" t="str">
        <f>IF(H9=1,"Click here to enter Phone-Contact","")</f>
        <v/>
      </c>
      <c r="E9" s="81" t="s">
        <v>1307</v>
      </c>
      <c r="F9" s="142">
        <v>1</v>
      </c>
      <c r="G9" s="78">
        <f>IF(B9=0,1,0)</f>
        <v>0</v>
      </c>
      <c r="H9" s="79">
        <f t="shared" si="3"/>
        <v>0</v>
      </c>
      <c r="I9" s="170" t="str">
        <f ca="1">OFFSET(L!$C$1,MATCH("Checker"&amp;"Comp",L!$A:$A,0)-1,SL,,)</f>
        <v>Complete</v>
      </c>
      <c r="J9" s="22" t="str">
        <f ca="1">OFFSET(L!$C$1,MATCH("Checker"&amp;ADDRESS(ROW(),COLUMN(),4),L!$A:$A,0)-1,SL,,)</f>
        <v>Provide a phone number for contact in Declaration tab cell D17</v>
      </c>
    </row>
    <row r="10" spans="1:10" ht="39">
      <c r="A10" s="100" t="str">
        <f ca="1">Declaration!B18</f>
        <v>Authorizer (*):</v>
      </c>
      <c r="B10" s="99" t="str">
        <f>Declaration!D18</f>
        <v>Toshiya Yamamoto</v>
      </c>
      <c r="C10" s="99" t="str">
        <f t="shared" ref="C10" ca="1" si="4">IF(H10=1,J10,I10)</f>
        <v>Complete</v>
      </c>
      <c r="D10" s="105" t="str">
        <f>IF(H10=1,"Click here to enter an Authorized Company Representative's name","")</f>
        <v/>
      </c>
      <c r="E10" s="81" t="s">
        <v>1307</v>
      </c>
      <c r="F10" s="103">
        <v>1</v>
      </c>
      <c r="G10" s="78">
        <f t="shared" ref="G10" si="5">IF(B10=0,1,0)</f>
        <v>0</v>
      </c>
      <c r="H10" s="79">
        <f t="shared" si="3"/>
        <v>0</v>
      </c>
      <c r="I10" s="170" t="str">
        <f ca="1">OFFSET(L!$C$1,MATCH("Checker"&amp;"Comp",L!$A:$A,0)-1,SL,,)</f>
        <v>Complete</v>
      </c>
      <c r="J10" s="22" t="str">
        <f ca="1">OFFSET(L!$C$1,MATCH("Checker"&amp;ADDRESS(ROW(),COLUMN(),4),L!$A:$A,0)-1,SL,,)</f>
        <v>Provide authorized company representative contact name in Declaration tab cell D18</v>
      </c>
    </row>
    <row r="11" spans="1:10" ht="39">
      <c r="A11" s="100" t="str">
        <f ca="1">Declaration!B20</f>
        <v>Email - Authorizer (*):</v>
      </c>
      <c r="B11" s="99" t="str">
        <f>Declaration!D20</f>
        <v>kagakubussitu@tdsjp.co.jp</v>
      </c>
      <c r="C11" s="99" t="str">
        <f ca="1">IF(H11=1,J11,I11)</f>
        <v>Complete</v>
      </c>
      <c r="D11" s="105" t="str">
        <f>IF(H11=1,"Click here to enter Representative's email","")</f>
        <v/>
      </c>
      <c r="E11" s="81" t="s">
        <v>1307</v>
      </c>
      <c r="F11" s="103">
        <v>1</v>
      </c>
      <c r="G11" s="78">
        <f>IF(ISNUMBER(SEARCH("@",B11)),0,1)</f>
        <v>0</v>
      </c>
      <c r="H11" s="79">
        <f t="shared" si="3"/>
        <v>0</v>
      </c>
      <c r="I11" s="170" t="str">
        <f ca="1">OFFSET(L!$C$1,MATCH("Checker"&amp;"Comp",L!$A:$A,0)-1,SL,,)</f>
        <v>Complete</v>
      </c>
      <c r="J11" s="22" t="str">
        <f ca="1">OFFSET(L!$C$1,MATCH("Checker"&amp;ADDRESS(ROW(),COLUMN(),4),L!$A:$A,0)-1,SL,,)</f>
        <v>Provide an email for authorized company representative on Declaration tab cell D20</v>
      </c>
    </row>
    <row r="12" spans="1:10" ht="39">
      <c r="A12" s="100" t="str">
        <f ca="1">Declaration!B22</f>
        <v>Effective Date (*):</v>
      </c>
      <c r="B12" s="101">
        <f>Declaration!D22</f>
        <v>44768</v>
      </c>
      <c r="C12" s="99" t="str">
        <f ca="1">IF(H12=1,J12,I12)</f>
        <v>Complete</v>
      </c>
      <c r="D12" s="105" t="str">
        <f>IF(H12=1,"Click here to enter Date of Completion","")</f>
        <v/>
      </c>
      <c r="E12" s="81" t="s">
        <v>1307</v>
      </c>
      <c r="F12" s="103">
        <v>1</v>
      </c>
      <c r="G12" s="78">
        <f>IF(B12=0,1,0)</f>
        <v>0</v>
      </c>
      <c r="H12" s="79">
        <f t="shared" si="3"/>
        <v>0</v>
      </c>
      <c r="I12" s="170" t="str">
        <f ca="1">OFFSET(L!$C$1,MATCH("Checker"&amp;"Comp",L!$A:$A,0)-1,SL,,)</f>
        <v>Complete</v>
      </c>
      <c r="J12" s="22" t="str">
        <f ca="1">OFFSET(L!$C$1,MATCH("Checker"&amp;ADDRESS(ROW(),COLUMN(),4),L!$A:$A,0)-1,SL,,)</f>
        <v>Provide date the form was completed on Declaration tab cell D22</v>
      </c>
    </row>
    <row r="13" spans="1:10" ht="63">
      <c r="A13" s="99" t="str">
        <f ca="1">Declaration!B25</f>
        <v>1) Is any 3TG intentionally added or used in the product(s) or in the production process? (*)</v>
      </c>
      <c r="B13" s="102"/>
      <c r="C13" s="102"/>
      <c r="D13" s="106"/>
      <c r="E13" s="81" t="s">
        <v>810</v>
      </c>
      <c r="F13" s="103"/>
      <c r="G13" s="24"/>
      <c r="H13" s="80">
        <f t="shared" si="3"/>
        <v>0</v>
      </c>
    </row>
    <row r="14" spans="1:10" ht="26.4">
      <c r="A14" s="100" t="str">
        <f ca="1">Declaration!B26</f>
        <v xml:space="preserve">Tantalum  </v>
      </c>
      <c r="B14" s="99" t="str">
        <f>Declaration!D26</f>
        <v>No</v>
      </c>
      <c r="C14" s="99" t="str">
        <f ca="1">IF(H14=1,J14,I14)</f>
        <v>Complete</v>
      </c>
      <c r="D14" s="105" t="str">
        <f>IF(H14=1,"Click here to answer question 1 for Tantalum","")</f>
        <v/>
      </c>
      <c r="E14" s="81" t="s">
        <v>806</v>
      </c>
      <c r="F14" s="103">
        <v>1</v>
      </c>
      <c r="G14" s="78">
        <f>IF(B14=0,1,0)</f>
        <v>0</v>
      </c>
      <c r="H14" s="79">
        <f t="shared" si="3"/>
        <v>0</v>
      </c>
      <c r="I14" s="170" t="str">
        <f ca="1">OFFSET(L!$C$1,MATCH("Checker"&amp;"Comp",L!$A:$A,0)-1,SL,,)</f>
        <v>Complete</v>
      </c>
      <c r="J14" s="171" t="str">
        <f ca="1">OFFSET(L!$C$1,MATCH("Checker"&amp;ADDRESS(ROW(),COLUMN(),4),L!$A:$A,0)-1,SL,,)</f>
        <v>Declare if Tantalum is intentionally added to your products on Declaration tab cell D26</v>
      </c>
    </row>
    <row r="15" spans="1:10" ht="39">
      <c r="A15" s="100" t="str">
        <f ca="1">Declaration!B27</f>
        <v>Tin  (*)</v>
      </c>
      <c r="B15" s="99" t="str">
        <f>Declaration!D27</f>
        <v>Yes</v>
      </c>
      <c r="C15" s="99" t="str">
        <f ca="1">IF(H15=1,J15,I15)</f>
        <v>Complete</v>
      </c>
      <c r="D15" s="105" t="str">
        <f>IF(H15=1,"Click here to answer question 1 for Tin","")</f>
        <v/>
      </c>
      <c r="E15" s="81" t="s">
        <v>807</v>
      </c>
      <c r="F15" s="103">
        <v>1</v>
      </c>
      <c r="G15" s="78">
        <f>IF(B15=0,1,0)</f>
        <v>0</v>
      </c>
      <c r="H15" s="79">
        <f t="shared" si="3"/>
        <v>0</v>
      </c>
      <c r="I15" s="170" t="str">
        <f ca="1">OFFSET(L!$C$1,MATCH("Checker"&amp;"Comp",L!$A:$A,0)-1,SL,,)</f>
        <v>Complete</v>
      </c>
      <c r="J15" s="171" t="str">
        <f ca="1">OFFSET(L!$C$1,MATCH("Checker"&amp;ADDRESS(ROW(),COLUMN(),4),L!$A:$A,0)-1,SL,,)</f>
        <v>Declare if Tin is intentionally added to your products on Declaration tab cell D27</v>
      </c>
    </row>
    <row r="16" spans="1:10" ht="39">
      <c r="A16" s="100" t="str">
        <f ca="1">Declaration!B28</f>
        <v xml:space="preserve">Gold  </v>
      </c>
      <c r="B16" s="99" t="str">
        <f>Declaration!D28</f>
        <v>No</v>
      </c>
      <c r="C16" s="99" t="str">
        <f ca="1">IF(H16=1,J16,I16)</f>
        <v>Complete</v>
      </c>
      <c r="D16" s="105" t="str">
        <f>IF(H16=1,"Click here to answer question 1 for Gold","")</f>
        <v/>
      </c>
      <c r="E16" s="81" t="s">
        <v>807</v>
      </c>
      <c r="F16" s="103">
        <v>1</v>
      </c>
      <c r="G16" s="78">
        <f>IF(B16=0,1,0)</f>
        <v>0</v>
      </c>
      <c r="H16" s="79">
        <f t="shared" si="3"/>
        <v>0</v>
      </c>
      <c r="I16" s="170" t="str">
        <f ca="1">OFFSET(L!$C$1,MATCH("Checker"&amp;"Comp",L!$A:$A,0)-1,SL,,)</f>
        <v>Complete</v>
      </c>
      <c r="J16" s="171" t="str">
        <f ca="1">OFFSET(L!$C$1,MATCH("Checker"&amp;ADDRESS(ROW(),COLUMN(),4),L!$A:$A,0)-1,SL,,)</f>
        <v>Declare if Gold is intentionally added to your products on Declaration tab cell D28</v>
      </c>
    </row>
    <row r="17" spans="1:10" ht="39">
      <c r="A17" s="100" t="str">
        <f ca="1">Declaration!B29</f>
        <v xml:space="preserve">Tungsten  </v>
      </c>
      <c r="B17" s="99" t="str">
        <f>Declaration!D29</f>
        <v>No</v>
      </c>
      <c r="C17" s="99" t="str">
        <f ca="1">IF(H17=1,J17,I17)</f>
        <v>Complete</v>
      </c>
      <c r="D17" s="105" t="str">
        <f>IF(H17=1,"Click here to answer question 1 for Tungsten","")</f>
        <v/>
      </c>
      <c r="E17" s="81" t="s">
        <v>807</v>
      </c>
      <c r="F17" s="103">
        <v>1</v>
      </c>
      <c r="G17" s="78">
        <f>IF(B17=0,1,0)</f>
        <v>0</v>
      </c>
      <c r="H17" s="79">
        <f t="shared" si="3"/>
        <v>0</v>
      </c>
      <c r="I17" s="170" t="str">
        <f ca="1">OFFSET(L!$C$1,MATCH("Checker"&amp;"Comp",L!$A:$A,0)-1,SL,,)</f>
        <v>Complete</v>
      </c>
      <c r="J17" s="171" t="str">
        <f ca="1">OFFSET(L!$C$1,MATCH("Checker"&amp;ADDRESS(ROW(),COLUMN(),4),L!$A:$A,0)-1,SL,,)</f>
        <v>Declare if Tungsten is intentionally added to your products on Declaration tab cell D29</v>
      </c>
    </row>
    <row r="18" spans="1:10" ht="50.4">
      <c r="A18" s="99" t="str">
        <f ca="1">Declaration!B31</f>
        <v>2) Does any 3TG remain in the product(s)? (*)</v>
      </c>
      <c r="B18" s="102"/>
      <c r="C18" s="102"/>
      <c r="D18" s="106"/>
      <c r="E18" s="81" t="s">
        <v>808</v>
      </c>
      <c r="F18" s="103"/>
      <c r="G18" s="24"/>
      <c r="H18" s="24"/>
      <c r="J18" s="171"/>
    </row>
    <row r="19" spans="1:10" ht="39">
      <c r="A19" s="100" t="str">
        <f ca="1">Declaration!B32</f>
        <v xml:space="preserve">Tantalum  </v>
      </c>
      <c r="B19" s="99">
        <f>IF($B$14="Yes",Declaration!D32,0)</f>
        <v>0</v>
      </c>
      <c r="C19" s="99" t="str">
        <f ca="1">IF(H19=1,J19,I19)</f>
        <v>Complete</v>
      </c>
      <c r="D19" s="107" t="str">
        <f>IF(H19=1,"Click here to answer question 2 for Tantalum","")</f>
        <v/>
      </c>
      <c r="E19" s="81" t="s">
        <v>807</v>
      </c>
      <c r="F19" s="104">
        <f>IF(B$14="No",0,1)</f>
        <v>0</v>
      </c>
      <c r="G19" s="78">
        <f>IF(B19=0,1,0)</f>
        <v>1</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39">
      <c r="A20" s="100" t="str">
        <f ca="1">Declaration!B33</f>
        <v>Tin  (*)</v>
      </c>
      <c r="B20" s="99" t="str">
        <f>IF($B$15="Yes",Declaration!D33,0)</f>
        <v>Yes</v>
      </c>
      <c r="C20" s="99" t="str">
        <f ca="1">IF(H20=1,J20,I20)</f>
        <v>Complete</v>
      </c>
      <c r="D20" s="107" t="str">
        <f>IF(H20=1,"Click here to answer question 2 for Tin","")</f>
        <v/>
      </c>
      <c r="E20" s="81" t="s">
        <v>807</v>
      </c>
      <c r="F20" s="104">
        <f>IF(B$15="No",0,1)</f>
        <v>1</v>
      </c>
      <c r="G20" s="78">
        <f>IF(B20=0,1,0)</f>
        <v>0</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39">
      <c r="A21" s="100" t="str">
        <f ca="1">Declaration!B34</f>
        <v xml:space="preserve">Gold  </v>
      </c>
      <c r="B21" s="99">
        <f>IF($B$16="Yes",Declaration!D34,0)</f>
        <v>0</v>
      </c>
      <c r="C21" s="99" t="str">
        <f ca="1">IF(H21=1,J21,I21)</f>
        <v>Complete</v>
      </c>
      <c r="D21" s="107" t="str">
        <f>IF(H21=1,"Click here to answer question 2 for Gold","")</f>
        <v/>
      </c>
      <c r="E21" s="81" t="s">
        <v>807</v>
      </c>
      <c r="F21" s="104">
        <f>IF(B$16="No",0,1)</f>
        <v>0</v>
      </c>
      <c r="G21" s="78">
        <f>IF(B21=0,1,0)</f>
        <v>1</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39">
      <c r="A22" s="100" t="str">
        <f ca="1">Declaration!B35</f>
        <v xml:space="preserve">Tungsten  </v>
      </c>
      <c r="B22" s="99">
        <f>IF($B$17="Yes",Declaration!D35,0)</f>
        <v>0</v>
      </c>
      <c r="C22" s="99" t="str">
        <f ca="1">IF(H22=1,J22,I22)</f>
        <v>Complete</v>
      </c>
      <c r="D22" s="107" t="str">
        <f>IF(H22=1,"Click here to answer question 2 for Tungsten","")</f>
        <v/>
      </c>
      <c r="E22" s="81" t="s">
        <v>807</v>
      </c>
      <c r="F22" s="104">
        <f>IF(B$17="No",0,1)</f>
        <v>0</v>
      </c>
      <c r="G22" s="78">
        <f>IF(B22=0,1,0)</f>
        <v>1</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75" customHeight="1">
      <c r="A23" s="99" t="str">
        <f ca="1">Declaration!B37</f>
        <v>3) Do any of the smelters in your supply chain source the 3TG from the covered countries? (SEC term, see definitions tab) (*)</v>
      </c>
      <c r="B23" s="102"/>
      <c r="C23" s="102"/>
      <c r="D23" s="106"/>
      <c r="E23" s="81" t="s">
        <v>807</v>
      </c>
      <c r="F23" s="103"/>
      <c r="G23" s="24"/>
      <c r="H23" s="24"/>
      <c r="J23" s="171"/>
    </row>
    <row r="24" spans="1:10" ht="39">
      <c r="A24" s="100" t="str">
        <f ca="1">Declaration!B38</f>
        <v xml:space="preserve">Tantalum  </v>
      </c>
      <c r="B24" s="99">
        <f>IF(AND($B$14="Yes",$B$19="Yes"),Declaration!D38,0)</f>
        <v>0</v>
      </c>
      <c r="C24" s="99" t="str">
        <f ca="1">IF(H24=1,J24,I24)</f>
        <v>Complete</v>
      </c>
      <c r="D24" s="107" t="str">
        <f>IF(H24=1,"Click here to answer question 3 for Tantalum","")</f>
        <v/>
      </c>
      <c r="E24" s="81" t="s">
        <v>807</v>
      </c>
      <c r="F24" s="104">
        <f>IF(OR(B14="No",B19="No"),0,1)</f>
        <v>0</v>
      </c>
      <c r="G24" s="78">
        <f t="shared" ref="G24" si="6">IF(B24=0,1,0)</f>
        <v>1</v>
      </c>
      <c r="H24" s="79">
        <f t="shared" ref="H24" si="7">F24*G24</f>
        <v>0</v>
      </c>
      <c r="I24" s="170"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0" t="str">
        <f ca="1">Declaration!B39</f>
        <v>Tin  (*)</v>
      </c>
      <c r="B25" s="99" t="str">
        <f>IF(AND($B$15="Yes",$B$20="Yes"),Declaration!D39,0)</f>
        <v>Yes</v>
      </c>
      <c r="C25" s="99" t="str">
        <f ca="1">IF(H25=1,J25,I25)</f>
        <v>Complete</v>
      </c>
      <c r="D25" s="107" t="str">
        <f>IF(H25=1,"Click here to answer question 3 for Tin","")</f>
        <v/>
      </c>
      <c r="E25" s="81" t="s">
        <v>807</v>
      </c>
      <c r="F25" s="104">
        <f>IF(OR(B15="No",B20="No"),0,1)</f>
        <v>1</v>
      </c>
      <c r="G25" s="78">
        <f>IF(B25=0,1,0)</f>
        <v>0</v>
      </c>
      <c r="H25" s="79">
        <f>F25*G25</f>
        <v>0</v>
      </c>
      <c r="I25" s="170"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0" t="str">
        <f ca="1">Declaration!B40</f>
        <v xml:space="preserve">Gold  </v>
      </c>
      <c r="B26" s="99">
        <f>IF(AND($B$16="Yes",$B$21="Yes"),Declaration!D40,0)</f>
        <v>0</v>
      </c>
      <c r="C26" s="99" t="str">
        <f ca="1">IF(H26=1,J26,I26)</f>
        <v>Complete</v>
      </c>
      <c r="D26" s="107" t="str">
        <f>IF(H26=1,"Click here to answer question 3 for Gold","")</f>
        <v/>
      </c>
      <c r="E26" s="81" t="s">
        <v>807</v>
      </c>
      <c r="F26" s="104">
        <f>IF(OR(B16="No",B21="No"),0,1)</f>
        <v>0</v>
      </c>
      <c r="G26" s="78">
        <f>IF(B26=0,1,0)</f>
        <v>1</v>
      </c>
      <c r="H26" s="79">
        <f>F26*G26</f>
        <v>0</v>
      </c>
      <c r="I26" s="170"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0" t="str">
        <f ca="1">Declaration!B41</f>
        <v xml:space="preserve">Tungsten  </v>
      </c>
      <c r="B27" s="99">
        <f>IF(AND($B$17="Yes",$B$22="Yes"),Declaration!D41,0)</f>
        <v>0</v>
      </c>
      <c r="C27" s="99" t="str">
        <f ca="1">IF(H27=1,J27,I27)</f>
        <v>Complete</v>
      </c>
      <c r="D27" s="107" t="str">
        <f>IF(H27=1,"Click here to answer question 3 for Tungsten","")</f>
        <v/>
      </c>
      <c r="E27" s="81" t="s">
        <v>807</v>
      </c>
      <c r="F27" s="104">
        <f>IF(OR(B17="No",B22="No"),0,1)</f>
        <v>0</v>
      </c>
      <c r="G27" s="78">
        <f>IF(B27=0,1,0)</f>
        <v>1</v>
      </c>
      <c r="H27" s="79">
        <f>F27*G27</f>
        <v>0</v>
      </c>
      <c r="I27" s="170"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99" t="str">
        <f ca="1">Declaration!B43</f>
        <v>4) Do any of the smelters in your supply chain source the 3TG from conflict-affected and high-risk areas? (*)</v>
      </c>
      <c r="B28" s="99"/>
      <c r="C28" s="99"/>
      <c r="D28" s="107"/>
      <c r="E28" s="81"/>
      <c r="F28" s="81"/>
      <c r="G28" s="81"/>
      <c r="H28" s="24"/>
      <c r="I28" s="170"/>
    </row>
    <row r="29" spans="1:10" ht="41.1" customHeight="1">
      <c r="A29" s="100" t="str">
        <f ca="1">Declaration!B44</f>
        <v xml:space="preserve">Tantalum  </v>
      </c>
      <c r="B29" s="99">
        <f>IF(AND($B$14="Yes",$B$19="Yes"),Declaration!D44,0)</f>
        <v>0</v>
      </c>
      <c r="C29" s="99" t="str">
        <f ca="1">IF(H29=1,J29,I29)</f>
        <v>Complete</v>
      </c>
      <c r="D29" s="314" t="str">
        <f>IF(H29=1,"Click here to answer question 4 for Tantalum","")</f>
        <v/>
      </c>
      <c r="E29" s="81"/>
      <c r="F29" s="104">
        <f>F24</f>
        <v>0</v>
      </c>
      <c r="G29" s="78">
        <f t="shared" ref="G29" si="8">IF(B29=0,1,0)</f>
        <v>1</v>
      </c>
      <c r="H29" s="79">
        <f t="shared" ref="H29" si="9">F29*G29</f>
        <v>0</v>
      </c>
      <c r="I29" s="170"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0" t="str">
        <f ca="1">Declaration!B45</f>
        <v>Tin  (*)</v>
      </c>
      <c r="B30" s="99" t="str">
        <f>IF(AND($B$15="Yes",$B$20="Yes"),Declaration!D45,0)</f>
        <v>Yes</v>
      </c>
      <c r="C30" s="99" t="str">
        <f ca="1">IF(H30=1,J30,I30)</f>
        <v>Complete</v>
      </c>
      <c r="D30" s="314" t="str">
        <f>IF(H30=1,"Click here to answer question 4 for Tin","")</f>
        <v/>
      </c>
      <c r="E30" s="81"/>
      <c r="F30" s="104">
        <f>F25</f>
        <v>1</v>
      </c>
      <c r="G30" s="78">
        <f>IF(B30=0,1,0)</f>
        <v>0</v>
      </c>
      <c r="H30" s="79">
        <f>F30*G30</f>
        <v>0</v>
      </c>
      <c r="I30" s="170"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0" t="str">
        <f ca="1">Declaration!B46</f>
        <v xml:space="preserve">Gold  </v>
      </c>
      <c r="B31" s="99">
        <f>IF(AND($B$16="Yes",$B$21="Yes"),Declaration!D46,0)</f>
        <v>0</v>
      </c>
      <c r="C31" s="99" t="str">
        <f ca="1">IF(H31=1,J31,I31)</f>
        <v>Complete</v>
      </c>
      <c r="D31" s="314" t="str">
        <f>IF(H31=1,"Click here to answer question 4 for Gold","")</f>
        <v/>
      </c>
      <c r="E31" s="81"/>
      <c r="F31" s="104">
        <f>F26</f>
        <v>0</v>
      </c>
      <c r="G31" s="78">
        <f>IF(B31=0,1,0)</f>
        <v>1</v>
      </c>
      <c r="H31" s="79">
        <f>F31*G31</f>
        <v>0</v>
      </c>
      <c r="I31" s="170"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0" t="str">
        <f ca="1">Declaration!B47</f>
        <v xml:space="preserve">Tungsten  </v>
      </c>
      <c r="B32" s="99">
        <f>IF(AND($B$17="Yes",$B$22="Yes"),Declaration!D47,0)</f>
        <v>0</v>
      </c>
      <c r="C32" s="99" t="str">
        <f ca="1">IF(H32=1,J32,I32)</f>
        <v>Complete</v>
      </c>
      <c r="D32" s="314" t="str">
        <f>IF(H32=1,"Click here to answer question 4 for Tungsten","")</f>
        <v/>
      </c>
      <c r="E32" s="81"/>
      <c r="F32" s="104">
        <f>F27</f>
        <v>0</v>
      </c>
      <c r="G32" s="78">
        <f>IF(B32=0,1,0)</f>
        <v>1</v>
      </c>
      <c r="H32" s="79">
        <f>F32*G32</f>
        <v>0</v>
      </c>
      <c r="I32" s="170"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99" t="str">
        <f ca="1">Declaration!B49</f>
        <v>5) Does 100 percent of the 3TG (necessary to the functionality or production of your products) originate from recycled or scrap sources?  (*)</v>
      </c>
      <c r="B33" s="102"/>
      <c r="C33" s="102"/>
      <c r="D33" s="106"/>
      <c r="E33" s="81" t="s">
        <v>1307</v>
      </c>
      <c r="F33" s="103"/>
      <c r="G33" s="24"/>
      <c r="H33" s="24"/>
      <c r="J33" s="171"/>
    </row>
    <row r="34" spans="1:10" ht="39">
      <c r="A34" s="100" t="str">
        <f ca="1">Declaration!B50</f>
        <v xml:space="preserve">Tantalum  </v>
      </c>
      <c r="B34" s="99">
        <f>IF(AND($B$14="Yes",$B$19="Yes"),Declaration!D50,0)</f>
        <v>0</v>
      </c>
      <c r="C34" s="99" t="str">
        <f ca="1">IF(H34=1,J34,I34)</f>
        <v>Complete</v>
      </c>
      <c r="D34" s="314" t="str">
        <f>IF(H34=1,"Click here to answer question 5 for Tantalum","")</f>
        <v/>
      </c>
      <c r="E34" s="81" t="s">
        <v>1307</v>
      </c>
      <c r="F34" s="104">
        <f>F24</f>
        <v>0</v>
      </c>
      <c r="G34" s="78">
        <f>IF(B34=0,1,0)</f>
        <v>1</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39">
      <c r="A35" s="100" t="str">
        <f ca="1">Declaration!B51</f>
        <v>Tin  (*)</v>
      </c>
      <c r="B35" s="99" t="str">
        <f>IF(AND($B$15="Yes",$B$20="Yes"),Declaration!D51,0)</f>
        <v>No</v>
      </c>
      <c r="C35" s="99" t="str">
        <f ca="1">IF(H35=1,J35,I35)</f>
        <v>Complete</v>
      </c>
      <c r="D35" s="314" t="str">
        <f>IF(H35=1,"Click here to answer question 5 for Tin","")</f>
        <v/>
      </c>
      <c r="E35" s="81" t="s">
        <v>1307</v>
      </c>
      <c r="F35" s="104">
        <f>F25</f>
        <v>1</v>
      </c>
      <c r="G35" s="78">
        <f>IF(B35=0,1,0)</f>
        <v>0</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39">
      <c r="A36" s="100" t="str">
        <f ca="1">Declaration!B52</f>
        <v xml:space="preserve">Gold  </v>
      </c>
      <c r="B36" s="99">
        <f>IF(AND($B$16="Yes",$B$21="Yes"),Declaration!D52,0)</f>
        <v>0</v>
      </c>
      <c r="C36" s="99" t="str">
        <f ca="1">IF(H36=1,J36,I36)</f>
        <v>Complete</v>
      </c>
      <c r="D36" s="314" t="str">
        <f>IF(H36=1,"Click here to answer question 5 for Gold","")</f>
        <v/>
      </c>
      <c r="E36" s="81" t="s">
        <v>1307</v>
      </c>
      <c r="F36" s="104">
        <f>F26</f>
        <v>0</v>
      </c>
      <c r="G36" s="78">
        <f>IF(B36=0,1,0)</f>
        <v>1</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39">
      <c r="A37" s="100" t="str">
        <f ca="1">Declaration!B53</f>
        <v xml:space="preserve">Tungsten  </v>
      </c>
      <c r="B37" s="99">
        <f>IF(AND($B$17="Yes",$B$22="Yes"),Declaration!D53,0)</f>
        <v>0</v>
      </c>
      <c r="C37" s="99" t="str">
        <f ca="1">IF(H37=1,J37,I37)</f>
        <v>Complete</v>
      </c>
      <c r="D37" s="314" t="str">
        <f>IF(H37=1,"Click here to answer question 5 for Tungsten","")</f>
        <v/>
      </c>
      <c r="E37" s="81" t="s">
        <v>1307</v>
      </c>
      <c r="F37" s="104">
        <f>F27</f>
        <v>0</v>
      </c>
      <c r="G37" s="78">
        <f>IF(B37=0,1,0)</f>
        <v>1</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99" t="str">
        <f ca="1">Declaration!B55</f>
        <v>6) What percentage of relevant suppliers have provided a response to your supply chain survey?  (*)</v>
      </c>
      <c r="B38" s="102"/>
      <c r="C38" s="102"/>
      <c r="D38" s="106"/>
      <c r="E38" s="81" t="s">
        <v>807</v>
      </c>
      <c r="F38" s="103"/>
      <c r="G38" s="24"/>
      <c r="H38" s="24"/>
    </row>
    <row r="39" spans="1:10" ht="26.4">
      <c r="A39" s="100" t="str">
        <f ca="1">Declaration!B56</f>
        <v xml:space="preserve">Tantalum  </v>
      </c>
      <c r="B39" s="333">
        <f>IF(AND($B$14="Yes",$B$19="Yes"),Declaration!D56,0)</f>
        <v>0</v>
      </c>
      <c r="C39" s="99" t="str">
        <f ca="1">IF(H39=1,J39,I39)</f>
        <v>Complete</v>
      </c>
      <c r="D39" s="315" t="str">
        <f>IF(H39=1,"Click here to answer question 6 for Tantalum","")</f>
        <v/>
      </c>
      <c r="E39" s="81" t="s">
        <v>806</v>
      </c>
      <c r="F39" s="104">
        <f>F24</f>
        <v>0</v>
      </c>
      <c r="G39" s="78">
        <f>IF(B39=0,1,0)</f>
        <v>1</v>
      </c>
      <c r="H39" s="79">
        <f>F39*G39</f>
        <v>0</v>
      </c>
      <c r="I39" s="170" t="str">
        <f ca="1">OFFSET(L!$C$1,MATCH("Checker"&amp;"Comp",L!$A:$A,0)-1,SL,,)</f>
        <v>Complete</v>
      </c>
      <c r="J39" s="22" t="str">
        <f ca="1">OFFSET(L!$C$1,MATCH("Checker"&amp;ADDRESS(ROW(),COLUMN(),4),L!$A:$A,0)-1,SL,,)</f>
        <v>Provide % of completeness of supplier's smelter information on Declaration tab cell D50</v>
      </c>
    </row>
    <row r="40" spans="1:10" ht="26.4">
      <c r="A40" s="100" t="str">
        <f ca="1">Declaration!B57</f>
        <v>Tin  (*)</v>
      </c>
      <c r="B40" s="333">
        <f>IF(AND($B$15="Yes",$B$20="Yes"),Declaration!D57,0)</f>
        <v>1</v>
      </c>
      <c r="C40" s="99" t="str">
        <f ca="1">IF(H40=1,J40,I40)</f>
        <v>Complete</v>
      </c>
      <c r="D40" s="315" t="str">
        <f>IF(H40=1,"Click here to answer question 6 for Tin","")</f>
        <v/>
      </c>
      <c r="E40" s="81" t="s">
        <v>806</v>
      </c>
      <c r="F40" s="104">
        <f>F25</f>
        <v>1</v>
      </c>
      <c r="G40" s="78">
        <f>IF(B40=0,1,0)</f>
        <v>0</v>
      </c>
      <c r="H40" s="79">
        <f>F40*G40</f>
        <v>0</v>
      </c>
      <c r="I40" s="170" t="str">
        <f ca="1">OFFSET(L!$C$1,MATCH("Checker"&amp;"Comp",L!$A:$A,0)-1,SL,,)</f>
        <v>Complete</v>
      </c>
      <c r="J40" s="22" t="str">
        <f ca="1">OFFSET(L!$C$1,MATCH("Checker"&amp;ADDRESS(ROW(),COLUMN(),4),L!$A:$A,0)-1,SL,,)</f>
        <v>Provide % of completeness of supplier's smelter information on Declaration tab cell D51</v>
      </c>
    </row>
    <row r="41" spans="1:10" ht="26.4">
      <c r="A41" s="100" t="str">
        <f ca="1">Declaration!B58</f>
        <v xml:space="preserve">Gold  </v>
      </c>
      <c r="B41" s="333">
        <f>IF(AND($B$16="Yes",$B$21="Yes"),Declaration!D58,0)</f>
        <v>0</v>
      </c>
      <c r="C41" s="99" t="str">
        <f ca="1">IF(H41=1,J41,I41)</f>
        <v>Complete</v>
      </c>
      <c r="D41" s="315" t="str">
        <f>IF(H41=1,"Click here to answer question 6 for Gold","")</f>
        <v/>
      </c>
      <c r="E41" s="81" t="s">
        <v>806</v>
      </c>
      <c r="F41" s="104">
        <f>F26</f>
        <v>0</v>
      </c>
      <c r="G41" s="78">
        <f>IF(B41=0,1,0)</f>
        <v>1</v>
      </c>
      <c r="H41" s="79">
        <f>F41*G41</f>
        <v>0</v>
      </c>
      <c r="I41" s="170" t="str">
        <f ca="1">OFFSET(L!$C$1,MATCH("Checker"&amp;"Comp",L!$A:$A,0)-1,SL,,)</f>
        <v>Complete</v>
      </c>
      <c r="J41" s="22" t="str">
        <f ca="1">OFFSET(L!$C$1,MATCH("Checker"&amp;ADDRESS(ROW(),COLUMN(),4),L!$A:$A,0)-1,SL,,)</f>
        <v>Provide % of completeness of supplier's smelter information on Declaration tab cell D52</v>
      </c>
    </row>
    <row r="42" spans="1:10" ht="26.4">
      <c r="A42" s="100" t="str">
        <f ca="1">Declaration!B59</f>
        <v xml:space="preserve">Tungsten  </v>
      </c>
      <c r="B42" s="333">
        <f>IF(AND($B$17="Yes",$B$22="Yes"),Declaration!D59,0)</f>
        <v>0</v>
      </c>
      <c r="C42" s="99" t="str">
        <f ca="1">IF(H42=1,J42,I42)</f>
        <v>Complete</v>
      </c>
      <c r="D42" s="315" t="str">
        <f>IF(H42=1,"Click here to answer question 6 for Tungsten","")</f>
        <v/>
      </c>
      <c r="E42" s="81" t="s">
        <v>806</v>
      </c>
      <c r="F42" s="104">
        <f>F27</f>
        <v>0</v>
      </c>
      <c r="G42" s="78">
        <f>IF(B42=0,1,0)</f>
        <v>1</v>
      </c>
      <c r="H42" s="79">
        <f>F42*G42</f>
        <v>0</v>
      </c>
      <c r="I42" s="170" t="str">
        <f ca="1">OFFSET(L!$C$1,MATCH("Checker"&amp;"Comp",L!$A:$A,0)-1,SL,,)</f>
        <v>Complete</v>
      </c>
      <c r="J42" s="22" t="str">
        <f ca="1">OFFSET(L!$C$1,MATCH("Checker"&amp;ADDRESS(ROW(),COLUMN(),4),L!$A:$A,0)-1,SL,,)</f>
        <v>Provide % of completeness of supplier's smelter information on Declaration tab cell D53</v>
      </c>
    </row>
    <row r="43" spans="1:10" ht="50.4">
      <c r="A43" s="99" t="str">
        <f ca="1">Declaration!B61</f>
        <v>7) Have you identified all of the smelters supplying the 3TG to your supply chain?  (*)</v>
      </c>
      <c r="B43" s="102"/>
      <c r="C43" s="102"/>
      <c r="D43" s="106"/>
      <c r="E43" s="81" t="s">
        <v>808</v>
      </c>
      <c r="F43" s="103"/>
      <c r="G43" s="24"/>
      <c r="H43" s="24"/>
    </row>
    <row r="44" spans="1:10" ht="51.6">
      <c r="A44" s="100" t="str">
        <f ca="1">Declaration!B62</f>
        <v xml:space="preserve">Tantalum  </v>
      </c>
      <c r="B44" s="99">
        <f>IF(AND($B$14="Yes",$B$19="Yes"),Declaration!D62,0)</f>
        <v>0</v>
      </c>
      <c r="C44" s="99" t="str">
        <f ca="1">IF(H44=1,J44,I44)</f>
        <v>Complete</v>
      </c>
      <c r="D44" s="314" t="str">
        <f>IF(H44=1,"Click here to answer question 7 for Tantalum","")</f>
        <v/>
      </c>
      <c r="E44" s="81" t="s">
        <v>1303</v>
      </c>
      <c r="F44" s="104">
        <f>F24</f>
        <v>0</v>
      </c>
      <c r="G44" s="78">
        <f>IF(B44=0,1,0)</f>
        <v>1</v>
      </c>
      <c r="H44" s="79">
        <f>F44*G44</f>
        <v>0</v>
      </c>
      <c r="I44" s="170"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6">
      <c r="A45" s="100" t="str">
        <f ca="1">Declaration!B63</f>
        <v>Tin  (*)</v>
      </c>
      <c r="B45" s="99" t="str">
        <f>IF(AND($B$15="Yes",$B$20="Yes"),Declaration!D63,0)</f>
        <v>Yes</v>
      </c>
      <c r="C45" s="99" t="str">
        <f ca="1">IF(H45=1,J45,I45)</f>
        <v>Complete</v>
      </c>
      <c r="D45" s="314" t="str">
        <f>IF(H45=1,"Click here to answer question 7 for Tin","")</f>
        <v/>
      </c>
      <c r="E45" s="81" t="s">
        <v>1303</v>
      </c>
      <c r="F45" s="104">
        <f>F25</f>
        <v>1</v>
      </c>
      <c r="G45" s="78">
        <f>IF(B45=0,1,0)</f>
        <v>0</v>
      </c>
      <c r="H45" s="79">
        <f>F45*G45</f>
        <v>0</v>
      </c>
      <c r="I45" s="170"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6">
      <c r="A46" s="100" t="str">
        <f ca="1">Declaration!B64</f>
        <v xml:space="preserve">Gold  </v>
      </c>
      <c r="B46" s="99">
        <f>IF(AND($B$16="Yes",$B$21="Yes"),Declaration!D64,0)</f>
        <v>0</v>
      </c>
      <c r="C46" s="99" t="str">
        <f ca="1">IF(H46=1,J46,I46)</f>
        <v>Complete</v>
      </c>
      <c r="D46" s="314" t="str">
        <f>IF(H46=1,"Click here to answer question 7 for Gold","")</f>
        <v/>
      </c>
      <c r="E46" s="81" t="s">
        <v>1303</v>
      </c>
      <c r="F46" s="104">
        <f>F26</f>
        <v>0</v>
      </c>
      <c r="G46" s="78">
        <f>IF(B46=0,1,0)</f>
        <v>1</v>
      </c>
      <c r="H46" s="79">
        <f>F46*G46</f>
        <v>0</v>
      </c>
      <c r="I46" s="170"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6">
      <c r="A47" s="100" t="str">
        <f ca="1">Declaration!B65</f>
        <v xml:space="preserve">Tungsten  </v>
      </c>
      <c r="B47" s="99">
        <f>IF(AND($B$17="Yes",$B$22="Yes"),Declaration!D65,0)</f>
        <v>0</v>
      </c>
      <c r="C47" s="99" t="str">
        <f ca="1">IF(H47=1,J47,I47)</f>
        <v>Complete</v>
      </c>
      <c r="D47" s="314" t="str">
        <f>IF(H47=1,"Click here to answer question 7 for Tungsten","")</f>
        <v/>
      </c>
      <c r="E47" s="81" t="s">
        <v>1303</v>
      </c>
      <c r="F47" s="104">
        <f>F27</f>
        <v>0</v>
      </c>
      <c r="G47" s="78">
        <f>IF(B47=0,1,0)</f>
        <v>1</v>
      </c>
      <c r="H47" s="79">
        <f>F47*G47</f>
        <v>0</v>
      </c>
      <c r="I47" s="170"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
      <c r="A48" s="99" t="str">
        <f ca="1">Declaration!B67</f>
        <v>8) Has all applicable smelter information received by your company been reported in this declaration?  (*)</v>
      </c>
      <c r="B48" s="102"/>
      <c r="C48" s="102"/>
      <c r="D48" s="106"/>
      <c r="E48" s="81" t="s">
        <v>809</v>
      </c>
      <c r="F48" s="103"/>
      <c r="G48" s="24"/>
      <c r="H48" s="24"/>
    </row>
    <row r="49" spans="1:10" ht="39">
      <c r="A49" s="100" t="str">
        <f ca="1">Declaration!B68</f>
        <v xml:space="preserve">Tantalum  </v>
      </c>
      <c r="B49" s="99">
        <f>IF(AND($B$14="Yes",$B$19="Yes"),Declaration!D68,0)</f>
        <v>0</v>
      </c>
      <c r="C49" s="99" t="str">
        <f ca="1">IF(H49=1,J49,I49)</f>
        <v>Complete</v>
      </c>
      <c r="D49" s="315" t="str">
        <f>IF(H49=1,"Click here to answer question 8 for Tantalum","")</f>
        <v/>
      </c>
      <c r="E49" s="81" t="s">
        <v>807</v>
      </c>
      <c r="F49" s="104">
        <f>F24</f>
        <v>0</v>
      </c>
      <c r="G49" s="78">
        <f>IF(B49=0,1,0)</f>
        <v>1</v>
      </c>
      <c r="H49" s="79">
        <f>F49*G49</f>
        <v>0</v>
      </c>
      <c r="I49" s="170" t="str">
        <f ca="1">OFFSET(L!$C$1,MATCH("Checker"&amp;"Comp",L!$A:$A,0)-1,SL,,)</f>
        <v>Complete</v>
      </c>
      <c r="J49" s="22" t="str">
        <f ca="1">OFFSET(L!$C$1,MATCH("Checker"&amp;ADDRESS(ROW(),COLUMN(),4),L!$A:$A,0)-1,SL,,)</f>
        <v>Declare if all applicable Tantalum smelter information has been provided on Declaration tab cell D62</v>
      </c>
    </row>
    <row r="50" spans="1:10" ht="39">
      <c r="A50" s="100" t="str">
        <f ca="1">Declaration!B69</f>
        <v>Tin  (*)</v>
      </c>
      <c r="B50" s="99" t="str">
        <f>IF(AND($B$15="Yes",$B$20="Yes"),Declaration!D69,0)</f>
        <v>Yes</v>
      </c>
      <c r="C50" s="99" t="str">
        <f ca="1">IF(H50=1,J50,I50)</f>
        <v>Complete</v>
      </c>
      <c r="D50" s="315" t="str">
        <f>IF(H50=1,"Click here to answer question 8 for Tin","")</f>
        <v/>
      </c>
      <c r="E50" s="81" t="s">
        <v>807</v>
      </c>
      <c r="F50" s="104">
        <f>F25</f>
        <v>1</v>
      </c>
      <c r="G50" s="78">
        <f>IF(B50=0,1,0)</f>
        <v>0</v>
      </c>
      <c r="H50" s="79">
        <f>F50*G50</f>
        <v>0</v>
      </c>
      <c r="I50" s="170" t="str">
        <f ca="1">OFFSET(L!$C$1,MATCH("Checker"&amp;"Comp",L!$A:$A,0)-1,SL,,)</f>
        <v>Complete</v>
      </c>
      <c r="J50" s="22" t="str">
        <f ca="1">OFFSET(L!$C$1,MATCH("Checker"&amp;ADDRESS(ROW(),COLUMN(),4),L!$A:$A,0)-1,SL,,)</f>
        <v>Declare if all applicable Tin smelter information has been provided on Declaration tab cell D63</v>
      </c>
    </row>
    <row r="51" spans="1:10" ht="39">
      <c r="A51" s="100" t="str">
        <f ca="1">Declaration!B70</f>
        <v xml:space="preserve">Gold  </v>
      </c>
      <c r="B51" s="99">
        <f>IF(AND($B$16="Yes",$B$21="Yes"),Declaration!D70,0)</f>
        <v>0</v>
      </c>
      <c r="C51" s="99" t="str">
        <f ca="1">IF(H51=1,J51,I51)</f>
        <v>Complete</v>
      </c>
      <c r="D51" s="315" t="str">
        <f>IF(H51=1,"Click here to answer question 8 for Gold","")</f>
        <v/>
      </c>
      <c r="E51" s="81" t="s">
        <v>807</v>
      </c>
      <c r="F51" s="104">
        <f>F26</f>
        <v>0</v>
      </c>
      <c r="G51" s="78">
        <f>IF(B51=0,1,0)</f>
        <v>1</v>
      </c>
      <c r="H51" s="79">
        <f>F51*G51</f>
        <v>0</v>
      </c>
      <c r="I51" s="170" t="str">
        <f ca="1">OFFSET(L!$C$1,MATCH("Checker"&amp;"Comp",L!$A:$A,0)-1,SL,,)</f>
        <v>Complete</v>
      </c>
      <c r="J51" s="22" t="str">
        <f ca="1">OFFSET(L!$C$1,MATCH("Checker"&amp;ADDRESS(ROW(),COLUMN(),4),L!$A:$A,0)-1,SL,,)</f>
        <v>Declare if all applicable Gold smelter information has been provided on Declaration tab cell D64</v>
      </c>
    </row>
    <row r="52" spans="1:10" ht="39">
      <c r="A52" s="100" t="str">
        <f ca="1">Declaration!B71</f>
        <v xml:space="preserve">Tungsten  </v>
      </c>
      <c r="B52" s="99">
        <f>IF(AND($B$17="Yes",$B$22="Yes"),Declaration!D71,0)</f>
        <v>0</v>
      </c>
      <c r="C52" s="99" t="str">
        <f ca="1">IF(H52=1,J52,I52)</f>
        <v>Complete</v>
      </c>
      <c r="D52" s="315" t="str">
        <f>IF(H52=1,"Click here to answer question 8 for Tungsten","")</f>
        <v/>
      </c>
      <c r="E52" s="81" t="s">
        <v>807</v>
      </c>
      <c r="F52" s="104">
        <f>F27</f>
        <v>0</v>
      </c>
      <c r="G52" s="78">
        <f>IF(B52=0,1,0)</f>
        <v>1</v>
      </c>
      <c r="H52" s="79">
        <f>F52*G52</f>
        <v>0</v>
      </c>
      <c r="I52" s="170" t="str">
        <f ca="1">OFFSET(L!$C$1,MATCH("Checker"&amp;"Comp",L!$A:$A,0)-1,SL,,)</f>
        <v>Complete</v>
      </c>
      <c r="J52" s="22" t="str">
        <f ca="1">OFFSET(L!$C$1,MATCH("Checker"&amp;ADDRESS(ROW(),COLUMN(),4),L!$A:$A,0)-1,SL,,)</f>
        <v>Declare if all applicable Tungsten smelter information has been provided on Declaration tab cell D65</v>
      </c>
    </row>
    <row r="53" spans="1:10" ht="25.2">
      <c r="A53" s="99" t="str">
        <f ca="1">Declaration!B74</f>
        <v>Question</v>
      </c>
      <c r="B53" s="102"/>
      <c r="C53" s="102"/>
      <c r="D53" s="106"/>
      <c r="E53" s="81" t="s">
        <v>441</v>
      </c>
      <c r="F53" s="103"/>
      <c r="G53" s="103"/>
      <c r="H53" s="103"/>
    </row>
    <row r="54" spans="1:10" ht="39">
      <c r="A54" s="99" t="str">
        <f ca="1">Declaration!B75</f>
        <v>A. Have you established a responsible minerals sourcing policy? (*)</v>
      </c>
      <c r="B54" s="99" t="str">
        <f>Declaration!D75</f>
        <v>Yes</v>
      </c>
      <c r="C54" s="99" t="str">
        <f t="shared" ref="C54:C60" ca="1" si="10">IF(H54=1,J54,I54)</f>
        <v>Complete</v>
      </c>
      <c r="D54" s="105" t="str">
        <f>IF(H54=1,"Click here to answer question (A)","")</f>
        <v/>
      </c>
      <c r="E54" s="81" t="s">
        <v>1307</v>
      </c>
      <c r="F54" s="104">
        <f>IF(SUM(F$24:F$27)=0,0,1)</f>
        <v>1</v>
      </c>
      <c r="G54" s="78">
        <f>IF(B54=0,1,0)</f>
        <v>0</v>
      </c>
      <c r="H54" s="79">
        <f t="shared" ref="H54:H60" si="11">F54*G54</f>
        <v>0</v>
      </c>
      <c r="I54" s="170"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99" t="str">
        <f ca="1">Declaration!B77</f>
        <v>B. Is your responsible minerals sourcing policy publicly available on your website? (Note – If yes, the user shall specify the URL in the comment field.) (*)</v>
      </c>
      <c r="B55" s="99" t="str">
        <f>Declaration!D77</f>
        <v>No</v>
      </c>
      <c r="C55" s="99" t="str">
        <f t="shared" ca="1" si="10"/>
        <v>Complete</v>
      </c>
      <c r="D55" s="105" t="str">
        <f>IF(H55=1,"Click here to answer question (B)","")</f>
        <v/>
      </c>
      <c r="E55" s="81" t="s">
        <v>1307</v>
      </c>
      <c r="F55" s="104">
        <f t="shared" ref="F55" si="12">F$54</f>
        <v>1</v>
      </c>
      <c r="G55" s="78">
        <f>IF(B55=0,1,0)</f>
        <v>0</v>
      </c>
      <c r="H55" s="79">
        <f t="shared" si="11"/>
        <v>0</v>
      </c>
      <c r="I55" s="170"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700000000000003" customHeight="1">
      <c r="A56" s="99" t="s">
        <v>5</v>
      </c>
      <c r="B56" s="99">
        <f>Declaration!G77</f>
        <v>0</v>
      </c>
      <c r="C56" s="99" t="str">
        <f t="shared" ca="1" si="10"/>
        <v>Complete</v>
      </c>
      <c r="D56" s="105" t="str">
        <f>IF(H56=1,"Click here to specify URL for question (B)","")</f>
        <v/>
      </c>
      <c r="E56" s="81"/>
      <c r="F56" s="104">
        <f>IF(AND(F55=1,B55="Yes"),1,0)</f>
        <v>0</v>
      </c>
      <c r="G56" s="78">
        <f>IF(LEN(B56)&gt;1,0,1)</f>
        <v>1</v>
      </c>
      <c r="H56" s="79">
        <f t="shared" si="11"/>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50.4">
      <c r="A57" s="99" t="str">
        <f ca="1">Declaration!B79</f>
        <v>C. Do you require your direct suppliers to source the 3TG from smelters whose due diligence practices have been validated by an independent third party audit program? (*)</v>
      </c>
      <c r="B57" s="99" t="str">
        <f>Declaration!D79</f>
        <v>No</v>
      </c>
      <c r="C57" s="99" t="str">
        <f t="shared" ca="1" si="10"/>
        <v>Complete</v>
      </c>
      <c r="D57" s="105" t="str">
        <f>IF(H57=1,"Click here to answer question (C)","")</f>
        <v/>
      </c>
      <c r="E57" s="81" t="s">
        <v>1307</v>
      </c>
      <c r="F57" s="104">
        <f>F$54</f>
        <v>1</v>
      </c>
      <c r="G57" s="78">
        <f>IF(B57=0,1,0)</f>
        <v>0</v>
      </c>
      <c r="H57" s="79">
        <f t="shared" si="11"/>
        <v>0</v>
      </c>
      <c r="I57" s="170"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99" t="str">
        <f ca="1">Declaration!B81</f>
        <v>D. Have you implemented due diligence measures for responsible sourcing? (*)</v>
      </c>
      <c r="B58" s="99" t="str">
        <f>Declaration!D81</f>
        <v>No</v>
      </c>
      <c r="C58" s="99" t="str">
        <f t="shared" ca="1" si="10"/>
        <v>Complete</v>
      </c>
      <c r="D58" s="105" t="str">
        <f>IF(H58=1,"Click here to answer question (D)","")</f>
        <v/>
      </c>
      <c r="E58" s="81" t="s">
        <v>1307</v>
      </c>
      <c r="F58" s="104">
        <f>F$54</f>
        <v>1</v>
      </c>
      <c r="G58" s="78">
        <f>IF(B58=0,1,0)</f>
        <v>0</v>
      </c>
      <c r="H58" s="79">
        <f t="shared" si="11"/>
        <v>0</v>
      </c>
      <c r="I58" s="170" t="str">
        <f ca="1">OFFSET(L!$C$1,MATCH("Checker"&amp;"Comp",L!$A:$A,0)-1,SL,,)</f>
        <v>Complete</v>
      </c>
      <c r="J58" s="22" t="str">
        <f ca="1">OFFSET(L!$C$1,MATCH("Checker"&amp;ADDRESS(ROW(),COLUMN(),4),L!$A:$A,0)-1,SL,,)</f>
        <v>Answer if you have implemented due diligence measures for responsible sourcing on Declaration tab cell D81</v>
      </c>
    </row>
    <row r="59" spans="1:10" ht="39">
      <c r="A59" s="99" t="str">
        <f ca="1">Declaration!B83</f>
        <v>E. Does your company conduct Conflict Minerals survey(s) of your relevant supplier(s)? (*)</v>
      </c>
      <c r="B59" s="99" t="str">
        <f>Declaration!D83</f>
        <v>Yes, in conformance with IPC1755 (e.g., CMRT)</v>
      </c>
      <c r="C59" s="99" t="str">
        <f t="shared" ca="1" si="10"/>
        <v>Complete</v>
      </c>
      <c r="D59" s="105" t="str">
        <f>IF(H59=1,"Click here to answer question (E)","")</f>
        <v/>
      </c>
      <c r="E59" s="81" t="s">
        <v>1307</v>
      </c>
      <c r="F59" s="104">
        <f>F$54</f>
        <v>1</v>
      </c>
      <c r="G59" s="78">
        <f>IF(B59=0,1,0)</f>
        <v>0</v>
      </c>
      <c r="H59" s="79">
        <f t="shared" si="11"/>
        <v>0</v>
      </c>
      <c r="I59" s="170"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99" t="str">
        <f ca="1">Declaration!B85</f>
        <v>F. Do you review due diligence information received from your suppliers against your company’s expectations? (*)</v>
      </c>
      <c r="B60" s="99" t="str">
        <f>Declaration!D85</f>
        <v>No</v>
      </c>
      <c r="C60" s="99" t="str">
        <f t="shared" ca="1" si="10"/>
        <v>Complete</v>
      </c>
      <c r="D60" s="105" t="str">
        <f>IF(H60=1,"Click here to answer question (F)","")</f>
        <v/>
      </c>
      <c r="E60" s="81" t="s">
        <v>1307</v>
      </c>
      <c r="F60" s="104">
        <f>F$54</f>
        <v>1</v>
      </c>
      <c r="G60" s="78">
        <f>IF(B60=0,1,0)</f>
        <v>0</v>
      </c>
      <c r="H60" s="79">
        <f t="shared" si="11"/>
        <v>0</v>
      </c>
      <c r="I60" s="170" t="str">
        <f ca="1">OFFSET(L!$C$1,MATCH("Checker"&amp;"Comp",L!$A:$A,0)-1,SL,,)</f>
        <v>Complete</v>
      </c>
      <c r="J60" s="22" t="str">
        <f ca="1">OFFSET(L!$C$1,MATCH("Checker"&amp;ADDRESS(ROW(),COLUMN(),4),L!$A:$A,0)-1,SL,,)</f>
        <v>Answer if you verify responses from your suppliers against your company's expectations on Declaration tab cell D85</v>
      </c>
    </row>
    <row r="61" spans="1:10" ht="14.4" hidden="1">
      <c r="A61" s="99"/>
      <c r="B61" s="99"/>
      <c r="C61" s="99"/>
      <c r="D61" s="105"/>
      <c r="E61" s="81"/>
      <c r="F61" s="104"/>
      <c r="G61" s="78"/>
      <c r="H61" s="79"/>
      <c r="I61" s="170"/>
    </row>
    <row r="62" spans="1:10" ht="39">
      <c r="A62" s="99" t="str">
        <f ca="1">Declaration!B87</f>
        <v>G. Does your review process include corrective action management? (*)</v>
      </c>
      <c r="B62" s="99" t="str">
        <f>Declaration!D87</f>
        <v>No</v>
      </c>
      <c r="C62" s="99" t="str">
        <f t="shared" ref="C62:C68" ca="1" si="13">IF(H62=1,J62,I62)</f>
        <v>Complete</v>
      </c>
      <c r="D62" s="105" t="str">
        <f>IF(H62=1,"Click here to answer question (G)","")</f>
        <v/>
      </c>
      <c r="E62" s="81" t="s">
        <v>1307</v>
      </c>
      <c r="F62" s="104">
        <f>F$54</f>
        <v>1</v>
      </c>
      <c r="G62" s="78">
        <f>IF(B62=0,1,0)</f>
        <v>0</v>
      </c>
      <c r="H62" s="79">
        <f t="shared" ref="H62:H69" si="14">F62*G62</f>
        <v>0</v>
      </c>
      <c r="I62" s="170" t="str">
        <f ca="1">OFFSET(L!$C$1,MATCH("Checker"&amp;"Comp",L!$A:$A,0)-1,SL,,)</f>
        <v>Complete</v>
      </c>
      <c r="J62" s="22" t="str">
        <f ca="1">OFFSET(L!$C$1,MATCH("Checker"&amp;ADDRESS(ROW(),COLUMN(),4),L!$A:$A,0)-1,SL,,)</f>
        <v>Answer if your verification process includes corrective action management on Declaration tab cell D87</v>
      </c>
    </row>
    <row r="63" spans="1:10" ht="39">
      <c r="A63" s="99" t="str">
        <f ca="1">Declaration!B89</f>
        <v>H. Is your company required to file an annual conflict minerals disclosure? (*)</v>
      </c>
      <c r="B63" s="99" t="str">
        <f>Declaration!D89</f>
        <v>No</v>
      </c>
      <c r="C63" s="99" t="str">
        <f t="shared" ca="1" si="13"/>
        <v>Complete</v>
      </c>
      <c r="D63" s="105" t="str">
        <f>IF(H63=1,"Click here to answer question (H)","")</f>
        <v/>
      </c>
      <c r="E63" s="81" t="s">
        <v>1307</v>
      </c>
      <c r="F63" s="104">
        <f>F$54</f>
        <v>1</v>
      </c>
      <c r="G63" s="78">
        <f>IF(B63=0,1,0)</f>
        <v>0</v>
      </c>
      <c r="H63" s="79">
        <f t="shared" si="14"/>
        <v>0</v>
      </c>
      <c r="I63" s="170"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99" t="s">
        <v>1300</v>
      </c>
      <c r="B64" s="99" t="str">
        <f ca="1">IF(G64=1,"No products or item numbers listed","One or more product / item numbers have been provided")</f>
        <v>One or more product / item numbers have been provided</v>
      </c>
      <c r="C64" s="99" t="str">
        <f t="shared" ca="1" si="13"/>
        <v>Complete</v>
      </c>
      <c r="D64" s="105" t="str">
        <f ca="1">IF(H64=1,"Click here to enter detail on Product List tab","")</f>
        <v/>
      </c>
      <c r="E64" s="81" t="s">
        <v>1307</v>
      </c>
      <c r="F64" s="104">
        <f>IF(B5=Declaration!Q9,1,0)</f>
        <v>1</v>
      </c>
      <c r="G64" s="78" cm="1">
        <f t="array" aca="1" ref="G64" ca="1">IF(INDIRECT("'Product List'!B6")="",1,0)</f>
        <v>0</v>
      </c>
      <c r="H64" s="79">
        <f t="shared" ca="1" si="14"/>
        <v>0</v>
      </c>
      <c r="I64" s="170"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99" t="s">
        <v>15262</v>
      </c>
      <c r="B65" s="99"/>
      <c r="C65" s="99" t="str">
        <f t="shared" ca="1" si="13"/>
        <v>Complete</v>
      </c>
      <c r="D65" s="105" t="str">
        <f>IF(H65=0,"","Click here to provide smelter information")</f>
        <v/>
      </c>
      <c r="E65" s="81" t="s">
        <v>1307</v>
      </c>
      <c r="F65" s="104">
        <f>F24</f>
        <v>0</v>
      </c>
      <c r="G65" s="78">
        <f>IF(AND(COUNTIF(SmelterIdetifiedForMetal,"Tantalum")&gt;0,COUNTIF('Smelter List'!AB$5:AB$2504,"Tantalum?*")&gt;0),0,1)</f>
        <v>1</v>
      </c>
      <c r="H65" s="79">
        <f t="shared" si="14"/>
        <v>0</v>
      </c>
      <c r="I65" s="170" t="str">
        <f ca="1">OFFSET(L!$C$1,MATCH("Checker"&amp;"Comp",L!$A:$A,0)-1,SL,,)</f>
        <v>Complete</v>
      </c>
      <c r="J65" s="22" t="str">
        <f ca="1">OFFSET(L!$C$1,MATCH("Checker"&amp;ADDRESS(ROW(),COLUMN(),4),L!$A:$A,0)-1,SL,,)</f>
        <v>Provide list of tantalum smelters contributing material to supply chain on Smelter List tab</v>
      </c>
      <c r="K65" s="177">
        <f>IF(H14+H19&gt;0,1,0)</f>
        <v>0</v>
      </c>
      <c r="L65" s="22" t="e">
        <f ca="1">OFFSET(L!$C$1,MATCH("Checker"&amp;ADDRESS(ROW(),COLUMN(),4),L!$A:$A,0)-1,SL,,)</f>
        <v>#N/A</v>
      </c>
    </row>
    <row r="66" spans="1:12" ht="39">
      <c r="A66" s="99" t="s">
        <v>1865</v>
      </c>
      <c r="B66" s="99"/>
      <c r="C66" s="99" t="str">
        <f t="shared" ca="1" si="13"/>
        <v>Complete</v>
      </c>
      <c r="D66" s="105" t="str">
        <f>IF(H66=0,"","Click here to provide smelter information")</f>
        <v/>
      </c>
      <c r="E66" s="81" t="s">
        <v>807</v>
      </c>
      <c r="F66" s="104">
        <f>F25</f>
        <v>1</v>
      </c>
      <c r="G66" s="78">
        <f>IF(AND(COUNTIF(SmelterIdetifiedForMetal,"Tin")&gt;0,COUNTIF('Smelter List'!AB$5:AB$2504,"Tin?*")&gt;0),0,1)</f>
        <v>0</v>
      </c>
      <c r="H66" s="79">
        <f t="shared" si="14"/>
        <v>0</v>
      </c>
      <c r="I66" s="170" t="str">
        <f ca="1">OFFSET(L!$C$1,MATCH("Checker"&amp;"Comp",L!$A:$A,0)-1,SL,,)</f>
        <v>Complete</v>
      </c>
      <c r="J66" s="22" t="str">
        <f ca="1">OFFSET(L!$C$1,MATCH("Checker"&amp;ADDRESS(ROW(),COLUMN(),4),L!$A:$A,0)-1,SL,,)</f>
        <v>Provide list of tin smelters contributing material to supply chain on Smelter List tab</v>
      </c>
      <c r="K66" s="177">
        <f>IF(H15+H20&gt;0,1,0)</f>
        <v>0</v>
      </c>
      <c r="L66" s="22" t="e">
        <f ca="1">OFFSET(L!$C$1,MATCH("Checker"&amp;ADDRESS(ROW(),COLUMN(),4),L!$A:$A,0)-1,SL,,)</f>
        <v>#N/A</v>
      </c>
    </row>
    <row r="67" spans="1:12" ht="39">
      <c r="A67" s="99" t="s">
        <v>1866</v>
      </c>
      <c r="B67" s="99"/>
      <c r="C67" s="99" t="str">
        <f t="shared" ca="1" si="13"/>
        <v>Complete</v>
      </c>
      <c r="D67" s="105" t="str">
        <f>IF(H67=0,"","Click here to provide smelter information")</f>
        <v/>
      </c>
      <c r="E67" s="81" t="s">
        <v>807</v>
      </c>
      <c r="F67" s="104">
        <f>F26</f>
        <v>0</v>
      </c>
      <c r="G67" s="78">
        <f>IF(AND(COUNTIF(SmelterIdetifiedForMetal,"Gold")&gt;0,COUNTIF('Smelter List'!AB$5:AB$2504,"Gold?*")&gt;0),0,1)</f>
        <v>1</v>
      </c>
      <c r="H67" s="79">
        <f t="shared" si="14"/>
        <v>0</v>
      </c>
      <c r="I67" s="170" t="str">
        <f ca="1">OFFSET(L!$C$1,MATCH("Checker"&amp;"Comp",L!$A:$A,0)-1,SL,,)</f>
        <v>Complete</v>
      </c>
      <c r="J67" s="22" t="str">
        <f ca="1">OFFSET(L!$C$1,MATCH("Checker"&amp;ADDRESS(ROW(),COLUMN(),4),L!$A:$A,0)-1,SL,,)</f>
        <v>Provide list of gold smelters contributing material to supply chain on Smelter List tab</v>
      </c>
      <c r="K67" s="177">
        <f>IF(H16+H21&gt;0,1,0)</f>
        <v>0</v>
      </c>
      <c r="L67" s="22" t="e">
        <f ca="1">OFFSET(L!$C$1,MATCH("Checker"&amp;ADDRESS(ROW(),COLUMN(),4),L!$A:$A,0)-1,SL,,)</f>
        <v>#N/A</v>
      </c>
    </row>
    <row r="68" spans="1:12" ht="39">
      <c r="A68" s="99" t="s">
        <v>1867</v>
      </c>
      <c r="B68" s="99"/>
      <c r="C68" s="99" t="str">
        <f t="shared" ca="1" si="13"/>
        <v>Complete</v>
      </c>
      <c r="D68" s="105" t="str">
        <f>IF(H68=0,"","Click here to provide smelter information")</f>
        <v/>
      </c>
      <c r="E68" s="81" t="s">
        <v>807</v>
      </c>
      <c r="F68" s="104">
        <f>F27</f>
        <v>0</v>
      </c>
      <c r="G68" s="78">
        <f>IF(AND(COUNTIF(SmelterIdetifiedForMetal,"Tungsten")&gt;0,COUNTIF('Smelter List'!AB$5:AB$2504,"Tungsten?*")&gt;0),0,1)</f>
        <v>1</v>
      </c>
      <c r="H68" s="79">
        <f t="shared" si="14"/>
        <v>0</v>
      </c>
      <c r="I68" s="170" t="str">
        <f ca="1">OFFSET(L!$C$1,MATCH("Checker"&amp;"Comp",L!$A:$A,0)-1,SL,,)</f>
        <v>Complete</v>
      </c>
      <c r="J68" s="22" t="str">
        <f ca="1">OFFSET(L!$C$1,MATCH("Checker"&amp;ADDRESS(ROW(),COLUMN(),4),L!$A:$A,0)-1,SL,,)</f>
        <v>Provide list of tungsten smelters contributing material to supply chain on Smelter List tab</v>
      </c>
      <c r="K68" s="177">
        <f>IF(H17+H22&gt;0,1,0)</f>
        <v>0</v>
      </c>
      <c r="L68" s="22" t="e">
        <f ca="1">OFFSET(L!$C$1,MATCH("Checker"&amp;ADDRESS(ROW(),COLUMN(),4),L!$A:$A,0)-1,SL,,)</f>
        <v>#N/A</v>
      </c>
    </row>
    <row r="69" spans="1:12" ht="25.2">
      <c r="A69" s="186" t="s">
        <v>2374</v>
      </c>
      <c r="B69" s="99"/>
      <c r="C69" s="186" t="str">
        <f ca="1">IF(F69=0,J69,IF(G69=0,I69,L69))</f>
        <v>N/A</v>
      </c>
      <c r="D69" s="105"/>
      <c r="E69" s="81"/>
      <c r="F69" s="104">
        <f ca="1">IF(COUNTIF('Smelter List'!$C:$C,"Smelter not listed")=0,0,1)</f>
        <v>0</v>
      </c>
      <c r="G69" s="78" cm="1">
        <f t="array" aca="1" ref="G69" ca="1">IF(OR(SUMPRODUCT(('Smelter List'!$C:$C="Smelter not listed")*('Smelter List'!$D:$D=""))&gt;0,SUMPRODUCT(('Smelter List'!$C:$C="Smelter not listed")*('Smelter List'!$E:$E=""))&gt;0),1,0)</f>
        <v>0</v>
      </c>
      <c r="H69" s="79">
        <f t="shared" ca="1" si="14"/>
        <v>0</v>
      </c>
      <c r="I69" s="170" t="str">
        <f ca="1">OFFSET(L!$C$1,MATCH("Checker"&amp;"Comp",L!$A:$A,0)-1,SL,,)</f>
        <v>Complete</v>
      </c>
      <c r="J69" s="22" t="s">
        <v>2375</v>
      </c>
      <c r="K69" s="177"/>
      <c r="L69" s="22" t="s">
        <v>2376</v>
      </c>
    </row>
    <row r="70" spans="1:12">
      <c r="H70" s="22">
        <f ca="1">SUM(H4:H69)</f>
        <v>0</v>
      </c>
    </row>
    <row r="71" spans="1:12">
      <c r="A71" s="24"/>
    </row>
    <row r="72" spans="1:12">
      <c r="A72" s="24"/>
    </row>
    <row r="73" spans="1:12" ht="13.2" thickBot="1">
      <c r="A73" s="24"/>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99"/>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D8" sqref="D8"/>
    </sheetView>
  </sheetViews>
  <sheetFormatPr baseColWidth="10" defaultColWidth="8.90625" defaultRowHeight="12.6"/>
  <cols>
    <col min="1" max="1" width="3.08984375" style="353" customWidth="1"/>
    <col min="2" max="2" width="39.90625" style="354" customWidth="1"/>
    <col min="3" max="3" width="39.90625" style="353" customWidth="1"/>
    <col min="4" max="4" width="58.90625" style="353" customWidth="1"/>
    <col min="5" max="5" width="1.6328125" style="353" customWidth="1"/>
    <col min="6" max="6" width="9" style="350" customWidth="1"/>
    <col min="7" max="16384" width="8.90625" style="351"/>
  </cols>
  <sheetData>
    <row r="1" spans="1:6" s="26" customFormat="1" ht="35.1" customHeight="1" thickTop="1">
      <c r="A1" s="458" t="str">
        <f ca="1">OFFSET(L!$C$1,MATCH("Product List"&amp;ADDRESS(ROW(),COLUMN(),4),L!$A:$A,0)-1,SL,,)</f>
        <v>Completion required only if reporting level "Product (or List of Products)" selected on the 'Declaration' worksheet.</v>
      </c>
      <c r="B1" s="459"/>
      <c r="C1" s="459"/>
      <c r="D1" s="459"/>
      <c r="E1" s="139"/>
      <c r="F1"/>
    </row>
    <row r="2" spans="1:6" s="26" customFormat="1" ht="13.2">
      <c r="A2" s="29"/>
      <c r="B2" s="141"/>
      <c r="C2" s="141"/>
      <c r="D2"/>
      <c r="E2" s="30"/>
      <c r="F2"/>
    </row>
    <row r="3" spans="1:6" s="26" customFormat="1" ht="13.2">
      <c r="A3" s="29"/>
      <c r="B3" s="141"/>
      <c r="C3" s="141"/>
      <c r="D3" s="141"/>
      <c r="E3" s="30"/>
      <c r="F3"/>
    </row>
    <row r="4" spans="1:6" s="26" customFormat="1" ht="15.75" customHeight="1">
      <c r="A4" s="29"/>
      <c r="B4" s="457" t="s">
        <v>898</v>
      </c>
      <c r="C4" s="457"/>
      <c r="D4" s="457"/>
      <c r="E4" s="30"/>
      <c r="F4"/>
    </row>
    <row r="5" spans="1:6" s="26" customFormat="1" ht="1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0"/>
      <c r="F5"/>
    </row>
    <row r="6" spans="1:6" ht="15">
      <c r="A6" s="150"/>
      <c r="B6" s="347" t="s">
        <v>15672</v>
      </c>
      <c r="C6" s="108"/>
      <c r="D6" s="108">
        <v>895840</v>
      </c>
      <c r="E6" s="349"/>
    </row>
    <row r="7" spans="1:6" ht="15">
      <c r="A7" s="151"/>
      <c r="B7" s="347"/>
      <c r="C7" s="108"/>
      <c r="D7" s="108"/>
      <c r="E7" s="349"/>
    </row>
    <row r="8" spans="1:6" ht="15">
      <c r="A8" s="151"/>
      <c r="B8" s="347"/>
      <c r="C8" s="108"/>
      <c r="D8" s="108"/>
      <c r="E8" s="349"/>
    </row>
    <row r="9" spans="1:6" ht="15">
      <c r="A9" s="151"/>
      <c r="B9" s="347"/>
      <c r="C9" s="108"/>
      <c r="D9" s="108"/>
      <c r="E9" s="349"/>
    </row>
    <row r="10" spans="1:6" ht="15">
      <c r="A10" s="151"/>
      <c r="B10" s="347"/>
      <c r="C10" s="108"/>
      <c r="D10" s="108"/>
      <c r="E10" s="349"/>
    </row>
    <row r="11" spans="1:6" ht="15">
      <c r="A11" s="151"/>
      <c r="B11" s="347"/>
      <c r="C11" s="108"/>
      <c r="D11" s="108"/>
      <c r="E11" s="349"/>
    </row>
    <row r="12" spans="1:6" ht="15">
      <c r="A12" s="151"/>
      <c r="B12" s="347"/>
      <c r="C12" s="108"/>
      <c r="D12" s="108"/>
      <c r="E12" s="349"/>
    </row>
    <row r="13" spans="1:6" ht="15">
      <c r="A13" s="151"/>
      <c r="B13" s="347"/>
      <c r="C13" s="108"/>
      <c r="D13" s="108"/>
      <c r="E13" s="349"/>
    </row>
    <row r="14" spans="1:6" ht="15">
      <c r="A14" s="151"/>
      <c r="B14" s="347"/>
      <c r="C14" s="108"/>
      <c r="D14" s="108"/>
      <c r="E14" s="349"/>
    </row>
    <row r="15" spans="1:6" ht="15">
      <c r="A15" s="151"/>
      <c r="B15" s="347"/>
      <c r="C15" s="108"/>
      <c r="D15" s="108"/>
      <c r="E15" s="349"/>
    </row>
    <row r="16" spans="1:6" ht="15">
      <c r="A16" s="151"/>
      <c r="B16" s="347"/>
      <c r="C16" s="108"/>
      <c r="D16" s="108"/>
      <c r="E16" s="349"/>
    </row>
    <row r="17" spans="1:5" ht="15">
      <c r="A17" s="151"/>
      <c r="B17" s="347"/>
      <c r="C17" s="108"/>
      <c r="D17" s="108"/>
      <c r="E17" s="349"/>
    </row>
    <row r="18" spans="1:5" ht="15">
      <c r="A18" s="151"/>
      <c r="B18" s="347"/>
      <c r="C18" s="108"/>
      <c r="D18" s="108"/>
      <c r="E18" s="349"/>
    </row>
    <row r="19" spans="1:5" ht="15">
      <c r="A19" s="151"/>
      <c r="B19" s="347"/>
      <c r="C19" s="108"/>
      <c r="D19" s="108"/>
      <c r="E19" s="349"/>
    </row>
    <row r="20" spans="1:5" ht="15">
      <c r="A20" s="151"/>
      <c r="B20" s="347"/>
      <c r="C20" s="108"/>
      <c r="D20" s="108"/>
      <c r="E20" s="349"/>
    </row>
    <row r="21" spans="1:5" ht="15">
      <c r="A21" s="151"/>
      <c r="B21" s="347"/>
      <c r="C21" s="108"/>
      <c r="D21" s="108"/>
      <c r="E21" s="349"/>
    </row>
    <row r="22" spans="1:5" ht="15">
      <c r="A22" s="151"/>
      <c r="B22" s="347"/>
      <c r="C22" s="108"/>
      <c r="D22" s="108"/>
      <c r="E22" s="349"/>
    </row>
    <row r="23" spans="1:5" ht="15">
      <c r="A23" s="151"/>
      <c r="B23" s="347"/>
      <c r="C23" s="108"/>
      <c r="D23" s="108"/>
      <c r="E23" s="349"/>
    </row>
    <row r="24" spans="1:5" ht="15">
      <c r="A24" s="151"/>
      <c r="B24" s="347"/>
      <c r="C24" s="108"/>
      <c r="D24" s="108"/>
      <c r="E24" s="349"/>
    </row>
    <row r="25" spans="1:5" ht="15">
      <c r="A25" s="151"/>
      <c r="B25" s="347"/>
      <c r="C25" s="108"/>
      <c r="D25" s="108"/>
      <c r="E25" s="349"/>
    </row>
    <row r="26" spans="1:5" ht="15">
      <c r="A26" s="151"/>
      <c r="B26" s="347"/>
      <c r="C26" s="108"/>
      <c r="D26" s="108"/>
      <c r="E26" s="349"/>
    </row>
    <row r="27" spans="1:5" ht="15">
      <c r="A27" s="151"/>
      <c r="B27" s="347"/>
      <c r="C27" s="108"/>
      <c r="D27" s="108"/>
      <c r="E27" s="349"/>
    </row>
    <row r="28" spans="1:5" ht="15">
      <c r="A28" s="151"/>
      <c r="B28" s="347"/>
      <c r="C28" s="108"/>
      <c r="D28" s="108"/>
      <c r="E28" s="349"/>
    </row>
    <row r="29" spans="1:5" ht="15">
      <c r="A29" s="151"/>
      <c r="B29" s="347"/>
      <c r="C29" s="108"/>
      <c r="D29" s="108"/>
      <c r="E29" s="349"/>
    </row>
    <row r="30" spans="1:5" ht="15">
      <c r="A30" s="151"/>
      <c r="B30" s="347"/>
      <c r="C30" s="108"/>
      <c r="D30" s="108"/>
      <c r="E30" s="349"/>
    </row>
    <row r="31" spans="1:5" ht="15">
      <c r="A31" s="151"/>
      <c r="B31" s="347"/>
      <c r="C31" s="108"/>
      <c r="D31" s="108"/>
      <c r="E31" s="349"/>
    </row>
    <row r="32" spans="1:5" ht="15">
      <c r="A32" s="151"/>
      <c r="B32" s="347"/>
      <c r="C32" s="108"/>
      <c r="D32" s="108"/>
      <c r="E32" s="349"/>
    </row>
    <row r="33" spans="1:5" ht="15">
      <c r="A33" s="151"/>
      <c r="B33" s="347"/>
      <c r="C33" s="108"/>
      <c r="D33" s="108"/>
      <c r="E33" s="349"/>
    </row>
    <row r="34" spans="1:5" ht="15">
      <c r="A34" s="151"/>
      <c r="B34" s="347"/>
      <c r="C34" s="108"/>
      <c r="D34" s="108"/>
      <c r="E34" s="349"/>
    </row>
    <row r="35" spans="1:5" ht="15">
      <c r="A35" s="151"/>
      <c r="B35" s="347"/>
      <c r="C35" s="108"/>
      <c r="D35" s="108"/>
      <c r="E35" s="349"/>
    </row>
    <row r="36" spans="1:5" ht="15">
      <c r="A36" s="151"/>
      <c r="B36" s="347"/>
      <c r="C36" s="108"/>
      <c r="D36" s="108"/>
      <c r="E36" s="349"/>
    </row>
    <row r="37" spans="1:5" ht="15">
      <c r="A37" s="151"/>
      <c r="B37" s="347"/>
      <c r="C37" s="108"/>
      <c r="D37" s="108"/>
      <c r="E37" s="349"/>
    </row>
    <row r="38" spans="1:5" ht="15">
      <c r="A38" s="151"/>
      <c r="B38" s="347"/>
      <c r="C38" s="108"/>
      <c r="D38" s="108"/>
      <c r="E38" s="349"/>
    </row>
    <row r="39" spans="1:5" ht="15">
      <c r="A39" s="151"/>
      <c r="B39" s="347"/>
      <c r="C39" s="108"/>
      <c r="D39" s="108"/>
      <c r="E39" s="349"/>
    </row>
    <row r="40" spans="1:5" ht="15">
      <c r="A40" s="151"/>
      <c r="B40" s="347"/>
      <c r="C40" s="108"/>
      <c r="D40" s="108"/>
      <c r="E40" s="349"/>
    </row>
    <row r="41" spans="1:5" ht="15">
      <c r="A41" s="151"/>
      <c r="B41" s="347"/>
      <c r="C41" s="108"/>
      <c r="D41" s="108"/>
      <c r="E41" s="349"/>
    </row>
    <row r="42" spans="1:5" ht="15">
      <c r="A42" s="151"/>
      <c r="B42" s="347"/>
      <c r="C42" s="108"/>
      <c r="D42" s="108"/>
      <c r="E42" s="349"/>
    </row>
    <row r="43" spans="1:5" ht="15">
      <c r="A43" s="151"/>
      <c r="B43" s="347"/>
      <c r="C43" s="108"/>
      <c r="D43" s="108"/>
      <c r="E43" s="349"/>
    </row>
    <row r="44" spans="1:5" ht="15">
      <c r="A44" s="151"/>
      <c r="B44" s="347"/>
      <c r="C44" s="108"/>
      <c r="D44" s="108"/>
      <c r="E44" s="349"/>
    </row>
    <row r="45" spans="1:5" ht="15">
      <c r="A45" s="151"/>
      <c r="B45" s="347"/>
      <c r="C45" s="108"/>
      <c r="D45" s="108"/>
      <c r="E45" s="349"/>
    </row>
    <row r="46" spans="1:5" ht="15">
      <c r="A46" s="151"/>
      <c r="B46" s="347"/>
      <c r="C46" s="108"/>
      <c r="D46" s="108"/>
      <c r="E46" s="349"/>
    </row>
    <row r="47" spans="1:5" ht="15">
      <c r="A47" s="151"/>
      <c r="B47" s="347"/>
      <c r="C47" s="108"/>
      <c r="D47" s="108"/>
      <c r="E47" s="349"/>
    </row>
    <row r="48" spans="1:5" ht="15">
      <c r="A48" s="151"/>
      <c r="B48" s="347"/>
      <c r="C48" s="108"/>
      <c r="D48" s="108"/>
      <c r="E48" s="349"/>
    </row>
    <row r="49" spans="1:5" ht="15">
      <c r="A49" s="151"/>
      <c r="B49" s="347"/>
      <c r="C49" s="108"/>
      <c r="D49" s="108"/>
      <c r="E49" s="349"/>
    </row>
    <row r="50" spans="1:5" ht="15">
      <c r="A50" s="151"/>
      <c r="B50" s="347"/>
      <c r="C50" s="108"/>
      <c r="D50" s="108"/>
      <c r="E50" s="349"/>
    </row>
    <row r="51" spans="1:5" ht="15">
      <c r="A51" s="151"/>
      <c r="B51" s="347"/>
      <c r="C51" s="108"/>
      <c r="D51" s="108"/>
      <c r="E51" s="349"/>
    </row>
    <row r="52" spans="1:5" ht="15">
      <c r="A52" s="151"/>
      <c r="B52" s="347"/>
      <c r="C52" s="108"/>
      <c r="D52" s="108"/>
      <c r="E52" s="349"/>
    </row>
    <row r="53" spans="1:5" ht="15">
      <c r="A53" s="151"/>
      <c r="B53" s="347"/>
      <c r="C53" s="108"/>
      <c r="D53" s="108"/>
      <c r="E53" s="349"/>
    </row>
    <row r="54" spans="1:5" ht="15">
      <c r="A54" s="151"/>
      <c r="B54" s="347"/>
      <c r="C54" s="108"/>
      <c r="D54" s="108"/>
      <c r="E54" s="349"/>
    </row>
    <row r="55" spans="1:5" ht="15">
      <c r="A55" s="151"/>
      <c r="B55" s="347"/>
      <c r="C55" s="108"/>
      <c r="D55" s="108"/>
      <c r="E55" s="349"/>
    </row>
    <row r="56" spans="1:5" ht="15">
      <c r="A56" s="151"/>
      <c r="B56" s="347"/>
      <c r="C56" s="108"/>
      <c r="D56" s="108"/>
      <c r="E56" s="349"/>
    </row>
    <row r="57" spans="1:5" ht="15">
      <c r="A57" s="151"/>
      <c r="B57" s="347"/>
      <c r="C57" s="108"/>
      <c r="D57" s="108"/>
      <c r="E57" s="349"/>
    </row>
    <row r="58" spans="1:5" ht="15">
      <c r="A58" s="151"/>
      <c r="B58" s="347"/>
      <c r="C58" s="108"/>
      <c r="D58" s="108"/>
      <c r="E58" s="349"/>
    </row>
    <row r="59" spans="1:5" ht="15">
      <c r="A59" s="151"/>
      <c r="B59" s="347"/>
      <c r="C59" s="108"/>
      <c r="D59" s="108"/>
      <c r="E59" s="349"/>
    </row>
    <row r="60" spans="1:5" ht="15">
      <c r="A60" s="151"/>
      <c r="B60" s="347"/>
      <c r="C60" s="108"/>
      <c r="D60" s="108"/>
      <c r="E60" s="349"/>
    </row>
    <row r="61" spans="1:5" ht="15">
      <c r="A61" s="151"/>
      <c r="B61" s="347"/>
      <c r="C61" s="108"/>
      <c r="D61" s="108"/>
      <c r="E61" s="349"/>
    </row>
    <row r="62" spans="1:5" ht="15">
      <c r="A62" s="151"/>
      <c r="B62" s="347"/>
      <c r="C62" s="108"/>
      <c r="D62" s="108"/>
      <c r="E62" s="349"/>
    </row>
    <row r="63" spans="1:5" ht="15">
      <c r="A63" s="151"/>
      <c r="B63" s="347"/>
      <c r="C63" s="108"/>
      <c r="D63" s="108"/>
      <c r="E63" s="349"/>
    </row>
    <row r="64" spans="1:5" ht="15">
      <c r="A64" s="151"/>
      <c r="B64" s="347"/>
      <c r="C64" s="108"/>
      <c r="D64" s="108"/>
      <c r="E64" s="349"/>
    </row>
    <row r="65" spans="1:5" ht="15">
      <c r="A65" s="151"/>
      <c r="B65" s="347"/>
      <c r="C65" s="108"/>
      <c r="D65" s="108"/>
      <c r="E65" s="349"/>
    </row>
    <row r="66" spans="1:5" ht="15">
      <c r="A66" s="151"/>
      <c r="B66" s="347"/>
      <c r="C66" s="108"/>
      <c r="D66" s="108"/>
      <c r="E66" s="349"/>
    </row>
    <row r="67" spans="1:5" ht="15">
      <c r="A67" s="151"/>
      <c r="B67" s="347"/>
      <c r="C67" s="108"/>
      <c r="D67" s="108"/>
      <c r="E67" s="349"/>
    </row>
    <row r="68" spans="1:5" ht="15">
      <c r="A68" s="151"/>
      <c r="B68" s="347"/>
      <c r="C68" s="108"/>
      <c r="D68" s="108"/>
      <c r="E68" s="349"/>
    </row>
    <row r="69" spans="1:5" ht="15">
      <c r="A69" s="151"/>
      <c r="B69" s="347"/>
      <c r="C69" s="108"/>
      <c r="D69" s="108"/>
      <c r="E69" s="349"/>
    </row>
    <row r="70" spans="1:5" ht="15">
      <c r="A70" s="151"/>
      <c r="B70" s="347"/>
      <c r="C70" s="108"/>
      <c r="D70" s="108"/>
      <c r="E70" s="349"/>
    </row>
    <row r="71" spans="1:5" ht="15">
      <c r="A71" s="151"/>
      <c r="B71" s="347"/>
      <c r="C71" s="108"/>
      <c r="D71" s="108"/>
      <c r="E71" s="349"/>
    </row>
    <row r="72" spans="1:5" ht="15">
      <c r="A72" s="151"/>
      <c r="B72" s="347"/>
      <c r="C72" s="108"/>
      <c r="D72" s="108"/>
      <c r="E72" s="349"/>
    </row>
    <row r="73" spans="1:5" ht="15">
      <c r="A73" s="151"/>
      <c r="B73" s="347"/>
      <c r="C73" s="108"/>
      <c r="D73" s="108"/>
      <c r="E73" s="349"/>
    </row>
    <row r="74" spans="1:5" ht="15">
      <c r="A74" s="151"/>
      <c r="B74" s="347"/>
      <c r="C74" s="108"/>
      <c r="D74" s="108"/>
      <c r="E74" s="349"/>
    </row>
    <row r="75" spans="1:5" ht="15">
      <c r="A75" s="151"/>
      <c r="B75" s="347"/>
      <c r="C75" s="108"/>
      <c r="D75" s="108"/>
      <c r="E75" s="349"/>
    </row>
    <row r="76" spans="1:5" ht="15">
      <c r="A76" s="151"/>
      <c r="B76" s="347"/>
      <c r="C76" s="108"/>
      <c r="D76" s="108"/>
      <c r="E76" s="349"/>
    </row>
    <row r="77" spans="1:5" ht="15">
      <c r="A77" s="151"/>
      <c r="B77" s="347"/>
      <c r="C77" s="108"/>
      <c r="D77" s="108"/>
      <c r="E77" s="349"/>
    </row>
    <row r="78" spans="1:5" ht="15">
      <c r="A78" s="151"/>
      <c r="B78" s="347"/>
      <c r="C78" s="108"/>
      <c r="D78" s="108"/>
      <c r="E78" s="349"/>
    </row>
    <row r="79" spans="1:5" ht="15">
      <c r="A79" s="151"/>
      <c r="B79" s="347"/>
      <c r="C79" s="108"/>
      <c r="D79" s="108"/>
      <c r="E79" s="349"/>
    </row>
    <row r="80" spans="1:5" ht="15">
      <c r="A80" s="151"/>
      <c r="B80" s="347"/>
      <c r="C80" s="108"/>
      <c r="D80" s="108"/>
      <c r="E80" s="349"/>
    </row>
    <row r="81" spans="1:5" ht="15">
      <c r="A81" s="151"/>
      <c r="B81" s="347"/>
      <c r="C81" s="108"/>
      <c r="D81" s="108"/>
      <c r="E81" s="349"/>
    </row>
    <row r="82" spans="1:5" ht="15">
      <c r="A82" s="151"/>
      <c r="B82" s="347"/>
      <c r="C82" s="108"/>
      <c r="D82" s="108"/>
      <c r="E82" s="349"/>
    </row>
    <row r="83" spans="1:5" ht="15">
      <c r="A83" s="151"/>
      <c r="B83" s="347"/>
      <c r="C83" s="108"/>
      <c r="D83" s="108"/>
      <c r="E83" s="349"/>
    </row>
    <row r="84" spans="1:5" ht="15">
      <c r="A84" s="151"/>
      <c r="B84" s="347"/>
      <c r="C84" s="108"/>
      <c r="D84" s="108"/>
      <c r="E84" s="349"/>
    </row>
    <row r="85" spans="1:5" ht="15">
      <c r="A85" s="151"/>
      <c r="B85" s="347"/>
      <c r="C85" s="108"/>
      <c r="D85" s="108"/>
      <c r="E85" s="349"/>
    </row>
    <row r="86" spans="1:5" ht="15">
      <c r="A86" s="151"/>
      <c r="B86" s="347"/>
      <c r="C86" s="108"/>
      <c r="D86" s="108"/>
      <c r="E86" s="349"/>
    </row>
    <row r="87" spans="1:5" ht="15">
      <c r="A87" s="151"/>
      <c r="B87" s="347"/>
      <c r="C87" s="108"/>
      <c r="D87" s="108"/>
      <c r="E87" s="349"/>
    </row>
    <row r="88" spans="1:5" ht="15">
      <c r="A88" s="151"/>
      <c r="B88" s="347"/>
      <c r="C88" s="108"/>
      <c r="D88" s="108"/>
      <c r="E88" s="349"/>
    </row>
    <row r="89" spans="1:5" ht="15">
      <c r="A89" s="151"/>
      <c r="B89" s="347"/>
      <c r="C89" s="108"/>
      <c r="D89" s="108"/>
      <c r="E89" s="349"/>
    </row>
    <row r="90" spans="1:5" ht="15">
      <c r="A90" s="151"/>
      <c r="B90" s="347"/>
      <c r="C90" s="108"/>
      <c r="D90" s="108"/>
      <c r="E90" s="349"/>
    </row>
    <row r="91" spans="1:5" ht="15">
      <c r="A91" s="151"/>
      <c r="B91" s="347"/>
      <c r="C91" s="108"/>
      <c r="D91" s="108"/>
      <c r="E91" s="349"/>
    </row>
    <row r="92" spans="1:5" ht="15">
      <c r="A92" s="151"/>
      <c r="B92" s="347"/>
      <c r="C92" s="108"/>
      <c r="D92" s="108"/>
      <c r="E92" s="349"/>
    </row>
    <row r="93" spans="1:5" ht="15">
      <c r="A93" s="151"/>
      <c r="B93" s="347"/>
      <c r="C93" s="108"/>
      <c r="D93" s="108"/>
      <c r="E93" s="349"/>
    </row>
    <row r="94" spans="1:5" ht="15">
      <c r="A94" s="151"/>
      <c r="B94" s="347"/>
      <c r="C94" s="108"/>
      <c r="D94" s="108"/>
      <c r="E94" s="349"/>
    </row>
    <row r="95" spans="1:5" ht="15">
      <c r="A95" s="151"/>
      <c r="B95" s="347"/>
      <c r="C95" s="108"/>
      <c r="D95" s="108"/>
      <c r="E95" s="349"/>
    </row>
    <row r="96" spans="1:5" ht="15">
      <c r="A96" s="151"/>
      <c r="B96" s="347"/>
      <c r="C96" s="108"/>
      <c r="D96" s="108"/>
      <c r="E96" s="349"/>
    </row>
    <row r="97" spans="1:5" ht="15">
      <c r="A97" s="151"/>
      <c r="B97" s="347"/>
      <c r="C97" s="108"/>
      <c r="D97" s="108"/>
      <c r="E97" s="349"/>
    </row>
    <row r="98" spans="1:5" ht="15">
      <c r="A98" s="151"/>
      <c r="B98" s="347"/>
      <c r="C98" s="108"/>
      <c r="D98" s="108"/>
      <c r="E98" s="349"/>
    </row>
    <row r="99" spans="1:5" ht="15">
      <c r="A99" s="151"/>
      <c r="B99" s="347"/>
      <c r="C99" s="108"/>
      <c r="D99" s="108"/>
      <c r="E99" s="349"/>
    </row>
    <row r="100" spans="1:5" ht="15">
      <c r="A100" s="151"/>
      <c r="B100" s="347"/>
      <c r="C100" s="108"/>
      <c r="D100" s="108"/>
      <c r="E100" s="349"/>
    </row>
    <row r="101" spans="1:5" ht="15">
      <c r="A101" s="151"/>
      <c r="B101" s="347"/>
      <c r="C101" s="108"/>
      <c r="D101" s="108"/>
      <c r="E101" s="349"/>
    </row>
    <row r="102" spans="1:5" ht="15">
      <c r="A102" s="151"/>
      <c r="B102" s="347"/>
      <c r="C102" s="108"/>
      <c r="D102" s="108"/>
      <c r="E102" s="349"/>
    </row>
    <row r="103" spans="1:5" ht="15">
      <c r="A103" s="151"/>
      <c r="B103" s="347"/>
      <c r="C103" s="108"/>
      <c r="D103" s="108"/>
      <c r="E103" s="349"/>
    </row>
    <row r="104" spans="1:5" ht="15">
      <c r="A104" s="151"/>
      <c r="B104" s="347"/>
      <c r="C104" s="108"/>
      <c r="D104" s="108"/>
      <c r="E104" s="349"/>
    </row>
    <row r="105" spans="1:5" ht="15">
      <c r="A105" s="151"/>
      <c r="B105" s="347"/>
      <c r="C105" s="108"/>
      <c r="D105" s="108"/>
      <c r="E105" s="349"/>
    </row>
    <row r="106" spans="1:5" ht="15">
      <c r="A106" s="151"/>
      <c r="B106" s="347"/>
      <c r="C106" s="108"/>
      <c r="D106" s="108"/>
      <c r="E106" s="349"/>
    </row>
    <row r="107" spans="1:5" ht="15">
      <c r="A107" s="151"/>
      <c r="B107" s="347"/>
      <c r="C107" s="108"/>
      <c r="D107" s="108"/>
      <c r="E107" s="349"/>
    </row>
    <row r="108" spans="1:5" ht="15">
      <c r="A108" s="151"/>
      <c r="B108" s="347"/>
      <c r="C108" s="108"/>
      <c r="D108" s="108"/>
      <c r="E108" s="349"/>
    </row>
    <row r="109" spans="1:5" ht="15">
      <c r="A109" s="151"/>
      <c r="B109" s="347"/>
      <c r="C109" s="108"/>
      <c r="D109" s="108"/>
      <c r="E109" s="349"/>
    </row>
    <row r="110" spans="1:5" ht="15">
      <c r="A110" s="151"/>
      <c r="B110" s="347"/>
      <c r="C110" s="108"/>
      <c r="D110" s="108"/>
      <c r="E110" s="349"/>
    </row>
    <row r="111" spans="1:5" ht="15">
      <c r="A111" s="151"/>
      <c r="B111" s="347"/>
      <c r="C111" s="108"/>
      <c r="D111" s="108"/>
      <c r="E111" s="349"/>
    </row>
    <row r="112" spans="1:5" ht="15">
      <c r="A112" s="151"/>
      <c r="B112" s="347"/>
      <c r="C112" s="108"/>
      <c r="D112" s="108"/>
      <c r="E112" s="349"/>
    </row>
    <row r="113" spans="1:5" ht="15">
      <c r="A113" s="151"/>
      <c r="B113" s="347"/>
      <c r="C113" s="108"/>
      <c r="D113" s="108"/>
      <c r="E113" s="349"/>
    </row>
    <row r="114" spans="1:5" ht="15">
      <c r="A114" s="151"/>
      <c r="B114" s="347"/>
      <c r="C114" s="108"/>
      <c r="D114" s="108"/>
      <c r="E114" s="349"/>
    </row>
    <row r="115" spans="1:5" ht="15">
      <c r="A115" s="151"/>
      <c r="B115" s="347"/>
      <c r="C115" s="108"/>
      <c r="D115" s="108"/>
      <c r="E115" s="349"/>
    </row>
    <row r="116" spans="1:5" ht="15">
      <c r="A116" s="151"/>
      <c r="B116" s="347"/>
      <c r="C116" s="108"/>
      <c r="D116" s="108"/>
      <c r="E116" s="349"/>
    </row>
    <row r="117" spans="1:5" ht="15">
      <c r="A117" s="151"/>
      <c r="B117" s="347"/>
      <c r="C117" s="108"/>
      <c r="D117" s="108"/>
      <c r="E117" s="349"/>
    </row>
    <row r="118" spans="1:5" ht="15">
      <c r="A118" s="151"/>
      <c r="B118" s="347"/>
      <c r="C118" s="108"/>
      <c r="D118" s="108"/>
      <c r="E118" s="349"/>
    </row>
    <row r="119" spans="1:5" ht="15">
      <c r="A119" s="151"/>
      <c r="B119" s="347"/>
      <c r="C119" s="108"/>
      <c r="D119" s="108"/>
      <c r="E119" s="349"/>
    </row>
    <row r="120" spans="1:5" ht="15">
      <c r="A120" s="151"/>
      <c r="B120" s="347"/>
      <c r="C120" s="108"/>
      <c r="D120" s="108"/>
      <c r="E120" s="349"/>
    </row>
    <row r="121" spans="1:5" ht="15">
      <c r="A121" s="151"/>
      <c r="B121" s="347"/>
      <c r="C121" s="108"/>
      <c r="D121" s="108"/>
      <c r="E121" s="349"/>
    </row>
    <row r="122" spans="1:5" ht="15">
      <c r="A122" s="151"/>
      <c r="B122" s="347"/>
      <c r="C122" s="108"/>
      <c r="D122" s="108"/>
      <c r="E122" s="349"/>
    </row>
    <row r="123" spans="1:5" ht="15">
      <c r="A123" s="151"/>
      <c r="B123" s="347"/>
      <c r="C123" s="108"/>
      <c r="D123" s="108"/>
      <c r="E123" s="349"/>
    </row>
    <row r="124" spans="1:5" ht="15">
      <c r="A124" s="151"/>
      <c r="B124" s="347"/>
      <c r="C124" s="108"/>
      <c r="D124" s="108"/>
      <c r="E124" s="349"/>
    </row>
    <row r="125" spans="1:5" ht="15">
      <c r="A125" s="151"/>
      <c r="B125" s="347"/>
      <c r="C125" s="108"/>
      <c r="D125" s="108"/>
      <c r="E125" s="349"/>
    </row>
    <row r="126" spans="1:5" ht="15">
      <c r="A126" s="151"/>
      <c r="B126" s="347"/>
      <c r="C126" s="108"/>
      <c r="D126" s="108"/>
      <c r="E126" s="349"/>
    </row>
    <row r="127" spans="1:5" ht="15">
      <c r="A127" s="151"/>
      <c r="B127" s="347"/>
      <c r="C127" s="108"/>
      <c r="D127" s="108"/>
      <c r="E127" s="349"/>
    </row>
    <row r="128" spans="1:5" ht="15">
      <c r="A128" s="151"/>
      <c r="B128" s="347"/>
      <c r="C128" s="108"/>
      <c r="D128" s="108"/>
      <c r="E128" s="349"/>
    </row>
    <row r="129" spans="1:5" ht="15">
      <c r="A129" s="151"/>
      <c r="B129" s="347"/>
      <c r="C129" s="108"/>
      <c r="D129" s="108"/>
      <c r="E129" s="349"/>
    </row>
    <row r="130" spans="1:5" ht="15">
      <c r="A130" s="151"/>
      <c r="B130" s="347"/>
      <c r="C130" s="108"/>
      <c r="D130" s="108"/>
      <c r="E130" s="349"/>
    </row>
    <row r="131" spans="1:5" ht="15">
      <c r="A131" s="151"/>
      <c r="B131" s="347"/>
      <c r="C131" s="108"/>
      <c r="D131" s="108"/>
      <c r="E131" s="349"/>
    </row>
    <row r="132" spans="1:5" ht="15">
      <c r="A132" s="151"/>
      <c r="B132" s="347"/>
      <c r="C132" s="108"/>
      <c r="D132" s="108"/>
      <c r="E132" s="349"/>
    </row>
    <row r="133" spans="1:5" ht="15">
      <c r="A133" s="151"/>
      <c r="B133" s="347"/>
      <c r="C133" s="108"/>
      <c r="D133" s="108"/>
      <c r="E133" s="349"/>
    </row>
    <row r="134" spans="1:5" ht="15">
      <c r="A134" s="151"/>
      <c r="B134" s="347"/>
      <c r="C134" s="108"/>
      <c r="D134" s="108"/>
      <c r="E134" s="349"/>
    </row>
    <row r="135" spans="1:5" ht="15">
      <c r="A135" s="151"/>
      <c r="B135" s="347"/>
      <c r="C135" s="108"/>
      <c r="D135" s="108"/>
      <c r="E135" s="349"/>
    </row>
    <row r="136" spans="1:5" ht="15">
      <c r="A136" s="151"/>
      <c r="B136" s="347"/>
      <c r="C136" s="108"/>
      <c r="D136" s="108"/>
      <c r="E136" s="349"/>
    </row>
    <row r="137" spans="1:5" ht="15">
      <c r="A137" s="151"/>
      <c r="B137" s="347"/>
      <c r="C137" s="108"/>
      <c r="D137" s="108"/>
      <c r="E137" s="349"/>
    </row>
    <row r="138" spans="1:5" ht="15">
      <c r="A138" s="151"/>
      <c r="B138" s="347"/>
      <c r="C138" s="108"/>
      <c r="D138" s="108"/>
      <c r="E138" s="349"/>
    </row>
    <row r="139" spans="1:5" ht="15">
      <c r="A139" s="151"/>
      <c r="B139" s="347"/>
      <c r="C139" s="108"/>
      <c r="D139" s="108"/>
      <c r="E139" s="349"/>
    </row>
    <row r="140" spans="1:5" ht="15">
      <c r="A140" s="151"/>
      <c r="B140" s="347"/>
      <c r="C140" s="108"/>
      <c r="D140" s="108"/>
      <c r="E140" s="349"/>
    </row>
    <row r="141" spans="1:5" ht="15">
      <c r="A141" s="151"/>
      <c r="B141" s="347"/>
      <c r="C141" s="108"/>
      <c r="D141" s="108"/>
      <c r="E141" s="349"/>
    </row>
    <row r="142" spans="1:5" ht="15">
      <c r="A142" s="151"/>
      <c r="B142" s="347"/>
      <c r="C142" s="108"/>
      <c r="D142" s="108"/>
      <c r="E142" s="349"/>
    </row>
    <row r="143" spans="1:5" ht="15">
      <c r="A143" s="151"/>
      <c r="B143" s="347"/>
      <c r="C143" s="108"/>
      <c r="D143" s="108"/>
      <c r="E143" s="349"/>
    </row>
    <row r="144" spans="1:5" ht="15">
      <c r="A144" s="151"/>
      <c r="B144" s="347"/>
      <c r="C144" s="108"/>
      <c r="D144" s="108"/>
      <c r="E144" s="349"/>
    </row>
    <row r="145" spans="1:5" ht="15">
      <c r="A145" s="151"/>
      <c r="B145" s="347"/>
      <c r="C145" s="108"/>
      <c r="D145" s="108"/>
      <c r="E145" s="349"/>
    </row>
    <row r="146" spans="1:5" ht="15">
      <c r="A146" s="151"/>
      <c r="B146" s="347"/>
      <c r="C146" s="108"/>
      <c r="D146" s="108"/>
      <c r="E146" s="349"/>
    </row>
    <row r="147" spans="1:5" ht="15">
      <c r="A147" s="151"/>
      <c r="B147" s="347"/>
      <c r="C147" s="108"/>
      <c r="D147" s="108"/>
      <c r="E147" s="349"/>
    </row>
    <row r="148" spans="1:5" ht="15">
      <c r="A148" s="151"/>
      <c r="B148" s="347"/>
      <c r="C148" s="108"/>
      <c r="D148" s="108"/>
      <c r="E148" s="349"/>
    </row>
    <row r="149" spans="1:5" ht="15">
      <c r="A149" s="151"/>
      <c r="B149" s="347"/>
      <c r="C149" s="108"/>
      <c r="D149" s="108"/>
      <c r="E149" s="349"/>
    </row>
    <row r="150" spans="1:5" ht="15">
      <c r="A150" s="151"/>
      <c r="B150" s="347"/>
      <c r="C150" s="108"/>
      <c r="D150" s="108"/>
      <c r="E150" s="349"/>
    </row>
    <row r="151" spans="1:5" ht="15">
      <c r="A151" s="151"/>
      <c r="B151" s="347"/>
      <c r="C151" s="108"/>
      <c r="D151" s="108"/>
      <c r="E151" s="349"/>
    </row>
    <row r="152" spans="1:5" ht="15">
      <c r="A152" s="151"/>
      <c r="B152" s="347"/>
      <c r="C152" s="108"/>
      <c r="D152" s="108"/>
      <c r="E152" s="349"/>
    </row>
    <row r="153" spans="1:5" ht="15">
      <c r="A153" s="151"/>
      <c r="B153" s="347"/>
      <c r="C153" s="108"/>
      <c r="D153" s="108"/>
      <c r="E153" s="349"/>
    </row>
    <row r="154" spans="1:5" ht="15">
      <c r="A154" s="151"/>
      <c r="B154" s="347"/>
      <c r="C154" s="108"/>
      <c r="D154" s="108"/>
      <c r="E154" s="349"/>
    </row>
    <row r="155" spans="1:5" ht="15">
      <c r="A155" s="151"/>
      <c r="B155" s="347"/>
      <c r="C155" s="108"/>
      <c r="D155" s="108"/>
      <c r="E155" s="349"/>
    </row>
    <row r="156" spans="1:5" ht="15">
      <c r="A156" s="151"/>
      <c r="B156" s="347"/>
      <c r="C156" s="108"/>
      <c r="D156" s="108"/>
      <c r="E156" s="349"/>
    </row>
    <row r="157" spans="1:5" ht="15">
      <c r="A157" s="151"/>
      <c r="B157" s="347"/>
      <c r="C157" s="108"/>
      <c r="D157" s="108"/>
      <c r="E157" s="349"/>
    </row>
    <row r="158" spans="1:5" ht="15">
      <c r="A158" s="151"/>
      <c r="B158" s="347"/>
      <c r="C158" s="108"/>
      <c r="D158" s="108"/>
      <c r="E158" s="349"/>
    </row>
    <row r="159" spans="1:5" ht="15">
      <c r="A159" s="151"/>
      <c r="B159" s="347"/>
      <c r="C159" s="108"/>
      <c r="D159" s="108"/>
      <c r="E159" s="349"/>
    </row>
    <row r="160" spans="1:5" ht="15">
      <c r="A160" s="151"/>
      <c r="B160" s="347"/>
      <c r="C160" s="108"/>
      <c r="D160" s="108"/>
      <c r="E160" s="349"/>
    </row>
    <row r="161" spans="1:5" ht="15">
      <c r="A161" s="151"/>
      <c r="B161" s="347"/>
      <c r="C161" s="108"/>
      <c r="D161" s="108"/>
      <c r="E161" s="349"/>
    </row>
    <row r="162" spans="1:5" ht="15">
      <c r="A162" s="151"/>
      <c r="B162" s="347"/>
      <c r="C162" s="108"/>
      <c r="D162" s="108"/>
      <c r="E162" s="349"/>
    </row>
    <row r="163" spans="1:5" ht="15">
      <c r="A163" s="151"/>
      <c r="B163" s="347"/>
      <c r="C163" s="108"/>
      <c r="D163" s="108"/>
      <c r="E163" s="349"/>
    </row>
    <row r="164" spans="1:5" ht="15">
      <c r="A164" s="151"/>
      <c r="B164" s="347"/>
      <c r="C164" s="108"/>
      <c r="D164" s="108"/>
      <c r="E164" s="349"/>
    </row>
    <row r="165" spans="1:5" ht="15">
      <c r="A165" s="151"/>
      <c r="B165" s="347"/>
      <c r="C165" s="108"/>
      <c r="D165" s="108"/>
      <c r="E165" s="349"/>
    </row>
    <row r="166" spans="1:5" ht="15">
      <c r="A166" s="151"/>
      <c r="B166" s="347"/>
      <c r="C166" s="108"/>
      <c r="D166" s="108"/>
      <c r="E166" s="349"/>
    </row>
    <row r="167" spans="1:5" ht="15">
      <c r="A167" s="151"/>
      <c r="B167" s="347"/>
      <c r="C167" s="108"/>
      <c r="D167" s="108"/>
      <c r="E167" s="349"/>
    </row>
    <row r="168" spans="1:5" ht="15">
      <c r="A168" s="151"/>
      <c r="B168" s="347"/>
      <c r="C168" s="108"/>
      <c r="D168" s="108"/>
      <c r="E168" s="349"/>
    </row>
    <row r="169" spans="1:5" ht="15">
      <c r="A169" s="151"/>
      <c r="B169" s="347"/>
      <c r="C169" s="108"/>
      <c r="D169" s="108"/>
      <c r="E169" s="349"/>
    </row>
    <row r="170" spans="1:5" ht="15">
      <c r="A170" s="151"/>
      <c r="B170" s="347"/>
      <c r="C170" s="108"/>
      <c r="D170" s="108"/>
      <c r="E170" s="349"/>
    </row>
    <row r="171" spans="1:5" ht="15">
      <c r="A171" s="151"/>
      <c r="B171" s="347"/>
      <c r="C171" s="108"/>
      <c r="D171" s="108"/>
      <c r="E171" s="349"/>
    </row>
    <row r="172" spans="1:5" ht="15">
      <c r="A172" s="151"/>
      <c r="B172" s="347"/>
      <c r="C172" s="108"/>
      <c r="D172" s="108"/>
      <c r="E172" s="349"/>
    </row>
    <row r="173" spans="1:5" ht="15">
      <c r="A173" s="151"/>
      <c r="B173" s="347"/>
      <c r="C173" s="108"/>
      <c r="D173" s="108"/>
      <c r="E173" s="349"/>
    </row>
    <row r="174" spans="1:5" ht="15">
      <c r="A174" s="151"/>
      <c r="B174" s="347"/>
      <c r="C174" s="108"/>
      <c r="D174" s="108"/>
      <c r="E174" s="349"/>
    </row>
    <row r="175" spans="1:5" ht="15">
      <c r="A175" s="151"/>
      <c r="B175" s="347"/>
      <c r="C175" s="108"/>
      <c r="D175" s="108"/>
      <c r="E175" s="349"/>
    </row>
    <row r="176" spans="1:5" ht="15">
      <c r="A176" s="151"/>
      <c r="B176" s="347"/>
      <c r="C176" s="108"/>
      <c r="D176" s="108"/>
      <c r="E176" s="349"/>
    </row>
    <row r="177" spans="1:5" ht="15">
      <c r="A177" s="151"/>
      <c r="B177" s="347"/>
      <c r="C177" s="108"/>
      <c r="D177" s="108"/>
      <c r="E177" s="349"/>
    </row>
    <row r="178" spans="1:5" ht="15">
      <c r="A178" s="151"/>
      <c r="B178" s="347"/>
      <c r="C178" s="108"/>
      <c r="D178" s="108"/>
      <c r="E178" s="349"/>
    </row>
    <row r="179" spans="1:5" ht="15">
      <c r="A179" s="151"/>
      <c r="B179" s="347"/>
      <c r="C179" s="108"/>
      <c r="D179" s="108"/>
      <c r="E179" s="349"/>
    </row>
    <row r="180" spans="1:5" ht="15">
      <c r="A180" s="151"/>
      <c r="B180" s="347"/>
      <c r="C180" s="108"/>
      <c r="D180" s="108"/>
      <c r="E180" s="349"/>
    </row>
    <row r="181" spans="1:5" ht="15">
      <c r="A181" s="151"/>
      <c r="B181" s="347"/>
      <c r="C181" s="108"/>
      <c r="D181" s="108"/>
      <c r="E181" s="349"/>
    </row>
    <row r="182" spans="1:5" ht="15">
      <c r="A182" s="151"/>
      <c r="B182" s="347"/>
      <c r="C182" s="108"/>
      <c r="D182" s="108"/>
      <c r="E182" s="349"/>
    </row>
    <row r="183" spans="1:5" ht="15">
      <c r="A183" s="151"/>
      <c r="B183" s="347"/>
      <c r="C183" s="108"/>
      <c r="D183" s="108"/>
      <c r="E183" s="349"/>
    </row>
    <row r="184" spans="1:5" ht="15">
      <c r="A184" s="151"/>
      <c r="B184" s="347"/>
      <c r="C184" s="108"/>
      <c r="D184" s="108"/>
      <c r="E184" s="349"/>
    </row>
    <row r="185" spans="1:5" ht="15">
      <c r="A185" s="151"/>
      <c r="B185" s="347"/>
      <c r="C185" s="108"/>
      <c r="D185" s="108"/>
      <c r="E185" s="349"/>
    </row>
    <row r="186" spans="1:5" ht="15">
      <c r="A186" s="151"/>
      <c r="B186" s="347"/>
      <c r="C186" s="108"/>
      <c r="D186" s="108"/>
      <c r="E186" s="349"/>
    </row>
    <row r="187" spans="1:5" ht="15">
      <c r="A187" s="151"/>
      <c r="B187" s="347"/>
      <c r="C187" s="108"/>
      <c r="D187" s="108"/>
      <c r="E187" s="349"/>
    </row>
    <row r="188" spans="1:5" ht="15">
      <c r="A188" s="151"/>
      <c r="B188" s="347"/>
      <c r="C188" s="108"/>
      <c r="D188" s="108"/>
      <c r="E188" s="349"/>
    </row>
    <row r="189" spans="1:5" ht="15">
      <c r="A189" s="151"/>
      <c r="B189" s="347"/>
      <c r="C189" s="108"/>
      <c r="D189" s="108"/>
      <c r="E189" s="349"/>
    </row>
    <row r="190" spans="1:5" ht="15">
      <c r="A190" s="151"/>
      <c r="B190" s="347"/>
      <c r="C190" s="108"/>
      <c r="D190" s="108"/>
      <c r="E190" s="349"/>
    </row>
    <row r="191" spans="1:5" ht="15">
      <c r="A191" s="151"/>
      <c r="B191" s="347"/>
      <c r="C191" s="108"/>
      <c r="D191" s="108"/>
      <c r="E191" s="349"/>
    </row>
    <row r="192" spans="1:5" ht="15">
      <c r="A192" s="151"/>
      <c r="B192" s="347"/>
      <c r="C192" s="108"/>
      <c r="D192" s="108"/>
      <c r="E192" s="349"/>
    </row>
    <row r="193" spans="1:5" ht="15">
      <c r="A193" s="151"/>
      <c r="B193" s="347"/>
      <c r="C193" s="108"/>
      <c r="D193" s="108"/>
      <c r="E193" s="349"/>
    </row>
    <row r="194" spans="1:5" ht="15">
      <c r="A194" s="151"/>
      <c r="B194" s="347"/>
      <c r="C194" s="108"/>
      <c r="D194" s="108"/>
      <c r="E194" s="349"/>
    </row>
    <row r="195" spans="1:5" ht="15">
      <c r="A195" s="151"/>
      <c r="B195" s="347"/>
      <c r="C195" s="108"/>
      <c r="D195" s="108"/>
      <c r="E195" s="349"/>
    </row>
    <row r="196" spans="1:5" ht="15">
      <c r="A196" s="151"/>
      <c r="B196" s="347"/>
      <c r="C196" s="108"/>
      <c r="D196" s="108"/>
      <c r="E196" s="349"/>
    </row>
    <row r="197" spans="1:5" ht="15">
      <c r="A197" s="151"/>
      <c r="B197" s="347"/>
      <c r="C197" s="108"/>
      <c r="D197" s="108"/>
      <c r="E197" s="349"/>
    </row>
    <row r="198" spans="1:5" ht="15">
      <c r="A198" s="151"/>
      <c r="B198" s="347"/>
      <c r="C198" s="108"/>
      <c r="D198" s="108"/>
      <c r="E198" s="349"/>
    </row>
    <row r="199" spans="1:5" ht="15">
      <c r="A199" s="151"/>
      <c r="B199" s="347"/>
      <c r="C199" s="108"/>
      <c r="D199" s="108"/>
      <c r="E199" s="349"/>
    </row>
    <row r="200" spans="1:5" ht="15">
      <c r="A200" s="151"/>
      <c r="B200" s="347"/>
      <c r="C200" s="108"/>
      <c r="D200" s="108"/>
      <c r="E200" s="349"/>
    </row>
    <row r="201" spans="1:5" ht="15">
      <c r="A201" s="151"/>
      <c r="B201" s="347"/>
      <c r="C201" s="108"/>
      <c r="D201" s="108"/>
      <c r="E201" s="349"/>
    </row>
    <row r="202" spans="1:5" ht="15">
      <c r="A202" s="151"/>
      <c r="B202" s="347"/>
      <c r="C202" s="108"/>
      <c r="D202" s="108"/>
      <c r="E202" s="349"/>
    </row>
    <row r="203" spans="1:5" ht="15">
      <c r="A203" s="151"/>
      <c r="B203" s="347"/>
      <c r="C203" s="108"/>
      <c r="D203" s="108"/>
      <c r="E203" s="349"/>
    </row>
    <row r="204" spans="1:5" ht="15">
      <c r="A204" s="151"/>
      <c r="B204" s="347"/>
      <c r="C204" s="108"/>
      <c r="D204" s="108"/>
      <c r="E204" s="349"/>
    </row>
    <row r="205" spans="1:5" ht="15">
      <c r="A205" s="151"/>
      <c r="B205" s="347"/>
      <c r="C205" s="108"/>
      <c r="D205" s="108"/>
      <c r="E205" s="349"/>
    </row>
    <row r="206" spans="1:5" ht="15">
      <c r="A206" s="151"/>
      <c r="B206" s="347"/>
      <c r="C206" s="108"/>
      <c r="D206" s="108"/>
      <c r="E206" s="349"/>
    </row>
    <row r="207" spans="1:5" ht="15">
      <c r="A207" s="151"/>
      <c r="B207" s="347"/>
      <c r="C207" s="108"/>
      <c r="D207" s="108"/>
      <c r="E207" s="349"/>
    </row>
    <row r="208" spans="1:5" ht="15">
      <c r="A208" s="151"/>
      <c r="B208" s="347"/>
      <c r="C208" s="108"/>
      <c r="D208" s="108"/>
      <c r="E208" s="349"/>
    </row>
    <row r="209" spans="1:5" ht="15">
      <c r="A209" s="151"/>
      <c r="B209" s="347"/>
      <c r="C209" s="108"/>
      <c r="D209" s="108"/>
      <c r="E209" s="349"/>
    </row>
    <row r="210" spans="1:5" ht="15">
      <c r="A210" s="151"/>
      <c r="B210" s="347"/>
      <c r="C210" s="108"/>
      <c r="D210" s="108"/>
      <c r="E210" s="349"/>
    </row>
    <row r="211" spans="1:5" ht="15">
      <c r="A211" s="151"/>
      <c r="B211" s="347"/>
      <c r="C211" s="108"/>
      <c r="D211" s="108"/>
      <c r="E211" s="349"/>
    </row>
    <row r="212" spans="1:5" ht="15">
      <c r="A212" s="151"/>
      <c r="B212" s="347"/>
      <c r="C212" s="108"/>
      <c r="D212" s="108"/>
      <c r="E212" s="349"/>
    </row>
    <row r="213" spans="1:5" ht="15">
      <c r="A213" s="151"/>
      <c r="B213" s="347"/>
      <c r="C213" s="108"/>
      <c r="D213" s="108"/>
      <c r="E213" s="349"/>
    </row>
    <row r="214" spans="1:5" ht="15">
      <c r="A214" s="151"/>
      <c r="B214" s="347"/>
      <c r="C214" s="108"/>
      <c r="D214" s="108"/>
      <c r="E214" s="349"/>
    </row>
    <row r="215" spans="1:5" ht="15">
      <c r="A215" s="151"/>
      <c r="B215" s="347"/>
      <c r="C215" s="108"/>
      <c r="D215" s="108"/>
      <c r="E215" s="349"/>
    </row>
    <row r="216" spans="1:5" ht="15">
      <c r="A216" s="151"/>
      <c r="B216" s="347"/>
      <c r="C216" s="108"/>
      <c r="D216" s="108"/>
      <c r="E216" s="349"/>
    </row>
    <row r="217" spans="1:5" ht="15">
      <c r="A217" s="151"/>
      <c r="B217" s="347"/>
      <c r="C217" s="108"/>
      <c r="D217" s="108"/>
      <c r="E217" s="349"/>
    </row>
    <row r="218" spans="1:5" ht="15">
      <c r="A218" s="151"/>
      <c r="B218" s="347"/>
      <c r="C218" s="108"/>
      <c r="D218" s="108"/>
      <c r="E218" s="349"/>
    </row>
    <row r="219" spans="1:5" ht="15">
      <c r="A219" s="151"/>
      <c r="B219" s="347"/>
      <c r="C219" s="108"/>
      <c r="D219" s="108"/>
      <c r="E219" s="349"/>
    </row>
    <row r="220" spans="1:5" ht="15">
      <c r="A220" s="151"/>
      <c r="B220" s="347"/>
      <c r="C220" s="108"/>
      <c r="D220" s="108"/>
      <c r="E220" s="349"/>
    </row>
    <row r="221" spans="1:5" ht="15">
      <c r="A221" s="151"/>
      <c r="B221" s="347"/>
      <c r="C221" s="108"/>
      <c r="D221" s="108"/>
      <c r="E221" s="349"/>
    </row>
    <row r="222" spans="1:5" ht="15">
      <c r="A222" s="151"/>
      <c r="B222" s="347"/>
      <c r="C222" s="108"/>
      <c r="D222" s="108"/>
      <c r="E222" s="349"/>
    </row>
    <row r="223" spans="1:5" ht="15">
      <c r="A223" s="151"/>
      <c r="B223" s="347"/>
      <c r="C223" s="108"/>
      <c r="D223" s="108"/>
      <c r="E223" s="349"/>
    </row>
    <row r="224" spans="1:5" ht="15">
      <c r="A224" s="151"/>
      <c r="B224" s="347"/>
      <c r="C224" s="108"/>
      <c r="D224" s="108"/>
      <c r="E224" s="349"/>
    </row>
    <row r="225" spans="1:5" ht="15">
      <c r="A225" s="151"/>
      <c r="B225" s="347"/>
      <c r="C225" s="108"/>
      <c r="D225" s="108"/>
      <c r="E225" s="349"/>
    </row>
    <row r="226" spans="1:5" ht="15">
      <c r="A226" s="151"/>
      <c r="B226" s="347"/>
      <c r="C226" s="108"/>
      <c r="D226" s="108"/>
      <c r="E226" s="349"/>
    </row>
    <row r="227" spans="1:5" ht="15">
      <c r="A227" s="151"/>
      <c r="B227" s="347"/>
      <c r="C227" s="108"/>
      <c r="D227" s="108"/>
      <c r="E227" s="349"/>
    </row>
    <row r="228" spans="1:5" ht="15">
      <c r="A228" s="151"/>
      <c r="B228" s="347"/>
      <c r="C228" s="108"/>
      <c r="D228" s="108"/>
      <c r="E228" s="349"/>
    </row>
    <row r="229" spans="1:5" ht="15">
      <c r="A229" s="151"/>
      <c r="B229" s="347"/>
      <c r="C229" s="108"/>
      <c r="D229" s="108"/>
      <c r="E229" s="349"/>
    </row>
    <row r="230" spans="1:5" ht="15">
      <c r="A230" s="151"/>
      <c r="B230" s="347"/>
      <c r="C230" s="108"/>
      <c r="D230" s="108"/>
      <c r="E230" s="349"/>
    </row>
    <row r="231" spans="1:5" ht="15">
      <c r="A231" s="151"/>
      <c r="B231" s="347"/>
      <c r="C231" s="108"/>
      <c r="D231" s="108"/>
      <c r="E231" s="349"/>
    </row>
    <row r="232" spans="1:5" ht="15">
      <c r="A232" s="151"/>
      <c r="B232" s="347"/>
      <c r="C232" s="108"/>
      <c r="D232" s="108"/>
      <c r="E232" s="349"/>
    </row>
    <row r="233" spans="1:5" ht="15">
      <c r="A233" s="151"/>
      <c r="B233" s="347"/>
      <c r="C233" s="108"/>
      <c r="D233" s="108"/>
      <c r="E233" s="349"/>
    </row>
    <row r="234" spans="1:5" ht="15">
      <c r="A234" s="151"/>
      <c r="B234" s="347"/>
      <c r="C234" s="108"/>
      <c r="D234" s="108"/>
      <c r="E234" s="349"/>
    </row>
    <row r="235" spans="1:5" ht="15">
      <c r="A235" s="151"/>
      <c r="B235" s="347"/>
      <c r="C235" s="108"/>
      <c r="D235" s="108"/>
      <c r="E235" s="349"/>
    </row>
    <row r="236" spans="1:5" ht="15">
      <c r="A236" s="151"/>
      <c r="B236" s="347"/>
      <c r="C236" s="108"/>
      <c r="D236" s="108"/>
      <c r="E236" s="349"/>
    </row>
    <row r="237" spans="1:5" ht="15">
      <c r="A237" s="151"/>
      <c r="B237" s="347"/>
      <c r="C237" s="108"/>
      <c r="D237" s="108"/>
      <c r="E237" s="349"/>
    </row>
    <row r="238" spans="1:5" ht="15">
      <c r="A238" s="151"/>
      <c r="B238" s="347"/>
      <c r="C238" s="108"/>
      <c r="D238" s="108"/>
      <c r="E238" s="349"/>
    </row>
    <row r="239" spans="1:5" ht="15">
      <c r="A239" s="151"/>
      <c r="B239" s="347"/>
      <c r="C239" s="108"/>
      <c r="D239" s="108"/>
      <c r="E239" s="349"/>
    </row>
    <row r="240" spans="1:5" ht="15">
      <c r="A240" s="151"/>
      <c r="B240" s="347"/>
      <c r="C240" s="108"/>
      <c r="D240" s="108"/>
      <c r="E240" s="349"/>
    </row>
    <row r="241" spans="1:5" ht="15">
      <c r="A241" s="151"/>
      <c r="B241" s="347"/>
      <c r="C241" s="108"/>
      <c r="D241" s="108"/>
      <c r="E241" s="349"/>
    </row>
    <row r="242" spans="1:5" ht="15">
      <c r="A242" s="151"/>
      <c r="B242" s="347"/>
      <c r="C242" s="108"/>
      <c r="D242" s="108"/>
      <c r="E242" s="349"/>
    </row>
    <row r="243" spans="1:5" ht="15">
      <c r="A243" s="151"/>
      <c r="B243" s="347"/>
      <c r="C243" s="108"/>
      <c r="D243" s="108"/>
      <c r="E243" s="349"/>
    </row>
    <row r="244" spans="1:5" ht="15">
      <c r="A244" s="151"/>
      <c r="B244" s="347"/>
      <c r="C244" s="108"/>
      <c r="D244" s="108"/>
      <c r="E244" s="349"/>
    </row>
    <row r="245" spans="1:5" ht="15">
      <c r="A245" s="151"/>
      <c r="B245" s="347"/>
      <c r="C245" s="108"/>
      <c r="D245" s="108"/>
      <c r="E245" s="349"/>
    </row>
    <row r="246" spans="1:5" ht="15">
      <c r="A246" s="151"/>
      <c r="B246" s="347"/>
      <c r="C246" s="108"/>
      <c r="D246" s="108"/>
      <c r="E246" s="349"/>
    </row>
    <row r="247" spans="1:5" ht="15">
      <c r="A247" s="151"/>
      <c r="B247" s="347"/>
      <c r="C247" s="108"/>
      <c r="D247" s="108"/>
      <c r="E247" s="349"/>
    </row>
    <row r="248" spans="1:5" ht="15">
      <c r="A248" s="151"/>
      <c r="B248" s="347"/>
      <c r="C248" s="108"/>
      <c r="D248" s="108"/>
      <c r="E248" s="349"/>
    </row>
    <row r="249" spans="1:5" ht="15">
      <c r="A249" s="151"/>
      <c r="B249" s="347"/>
      <c r="C249" s="108"/>
      <c r="D249" s="108"/>
      <c r="E249" s="349"/>
    </row>
    <row r="250" spans="1:5" ht="15">
      <c r="A250" s="151"/>
      <c r="B250" s="347"/>
      <c r="C250" s="108"/>
      <c r="D250" s="108"/>
      <c r="E250" s="349"/>
    </row>
    <row r="251" spans="1:5" ht="15">
      <c r="A251" s="151"/>
      <c r="B251" s="347"/>
      <c r="C251" s="108"/>
      <c r="D251" s="108"/>
      <c r="E251" s="349"/>
    </row>
    <row r="252" spans="1:5" ht="15">
      <c r="A252" s="151"/>
      <c r="B252" s="347"/>
      <c r="C252" s="108"/>
      <c r="D252" s="108"/>
      <c r="E252" s="349"/>
    </row>
    <row r="253" spans="1:5" ht="15">
      <c r="A253" s="151"/>
      <c r="B253" s="347"/>
      <c r="C253" s="108"/>
      <c r="D253" s="108"/>
      <c r="E253" s="349"/>
    </row>
    <row r="254" spans="1:5" ht="15">
      <c r="A254" s="151"/>
      <c r="B254" s="347"/>
      <c r="C254" s="108"/>
      <c r="D254" s="108"/>
      <c r="E254" s="349"/>
    </row>
    <row r="255" spans="1:5" ht="15">
      <c r="A255" s="151"/>
      <c r="B255" s="347"/>
      <c r="C255" s="108"/>
      <c r="D255" s="108"/>
      <c r="E255" s="349"/>
    </row>
    <row r="256" spans="1:5" ht="15">
      <c r="A256" s="151"/>
      <c r="B256" s="347"/>
      <c r="C256" s="108"/>
      <c r="D256" s="108"/>
      <c r="E256" s="349"/>
    </row>
    <row r="257" spans="1:5" ht="15">
      <c r="A257" s="151"/>
      <c r="B257" s="347"/>
      <c r="C257" s="108"/>
      <c r="D257" s="108"/>
      <c r="E257" s="349"/>
    </row>
    <row r="258" spans="1:5" ht="15">
      <c r="A258" s="151"/>
      <c r="B258" s="347"/>
      <c r="C258" s="108"/>
      <c r="D258" s="108"/>
      <c r="E258" s="349"/>
    </row>
    <row r="259" spans="1:5" ht="15">
      <c r="A259" s="151"/>
      <c r="B259" s="347"/>
      <c r="C259" s="108"/>
      <c r="D259" s="108"/>
      <c r="E259" s="349"/>
    </row>
    <row r="260" spans="1:5" ht="15">
      <c r="A260" s="151"/>
      <c r="B260" s="347"/>
      <c r="C260" s="108"/>
      <c r="D260" s="108"/>
      <c r="E260" s="349"/>
    </row>
    <row r="261" spans="1:5" ht="15">
      <c r="A261" s="151"/>
      <c r="B261" s="347"/>
      <c r="C261" s="108"/>
      <c r="D261" s="108"/>
      <c r="E261" s="349"/>
    </row>
    <row r="262" spans="1:5" ht="15">
      <c r="A262" s="151"/>
      <c r="B262" s="347"/>
      <c r="C262" s="108"/>
      <c r="D262" s="108"/>
      <c r="E262" s="349"/>
    </row>
    <row r="263" spans="1:5" ht="15">
      <c r="A263" s="151"/>
      <c r="B263" s="347"/>
      <c r="C263" s="108"/>
      <c r="D263" s="108"/>
      <c r="E263" s="349"/>
    </row>
    <row r="264" spans="1:5" ht="15">
      <c r="A264" s="151"/>
      <c r="B264" s="347"/>
      <c r="C264" s="108"/>
      <c r="D264" s="108"/>
      <c r="E264" s="349"/>
    </row>
    <row r="265" spans="1:5" ht="15">
      <c r="A265" s="151"/>
      <c r="B265" s="347"/>
      <c r="C265" s="108"/>
      <c r="D265" s="108"/>
      <c r="E265" s="349"/>
    </row>
    <row r="266" spans="1:5" ht="15">
      <c r="A266" s="151"/>
      <c r="B266" s="347"/>
      <c r="C266" s="108"/>
      <c r="D266" s="108"/>
      <c r="E266" s="349"/>
    </row>
    <row r="267" spans="1:5" ht="15">
      <c r="A267" s="151"/>
      <c r="B267" s="347"/>
      <c r="C267" s="108"/>
      <c r="D267" s="108"/>
      <c r="E267" s="349"/>
    </row>
    <row r="268" spans="1:5" ht="15">
      <c r="A268" s="151"/>
      <c r="B268" s="347"/>
      <c r="C268" s="108"/>
      <c r="D268" s="108"/>
      <c r="E268" s="349"/>
    </row>
    <row r="269" spans="1:5" ht="15">
      <c r="A269" s="151"/>
      <c r="B269" s="347"/>
      <c r="C269" s="108"/>
      <c r="D269" s="108"/>
      <c r="E269" s="349"/>
    </row>
    <row r="270" spans="1:5" ht="15">
      <c r="A270" s="151"/>
      <c r="B270" s="347"/>
      <c r="C270" s="108"/>
      <c r="D270" s="108"/>
      <c r="E270" s="349"/>
    </row>
    <row r="271" spans="1:5" ht="15">
      <c r="A271" s="151"/>
      <c r="B271" s="347"/>
      <c r="C271" s="108"/>
      <c r="D271" s="108"/>
      <c r="E271" s="349"/>
    </row>
    <row r="272" spans="1:5" ht="15">
      <c r="A272" s="151"/>
      <c r="B272" s="347"/>
      <c r="C272" s="108"/>
      <c r="D272" s="108"/>
      <c r="E272" s="349"/>
    </row>
    <row r="273" spans="1:5" ht="15">
      <c r="A273" s="151"/>
      <c r="B273" s="347"/>
      <c r="C273" s="108"/>
      <c r="D273" s="108"/>
      <c r="E273" s="349"/>
    </row>
    <row r="274" spans="1:5" ht="15">
      <c r="A274" s="151"/>
      <c r="B274" s="347"/>
      <c r="C274" s="108"/>
      <c r="D274" s="108"/>
      <c r="E274" s="349"/>
    </row>
    <row r="275" spans="1:5" ht="15">
      <c r="A275" s="151"/>
      <c r="B275" s="347"/>
      <c r="C275" s="108"/>
      <c r="D275" s="108"/>
      <c r="E275" s="349"/>
    </row>
    <row r="276" spans="1:5" ht="15">
      <c r="A276" s="151"/>
      <c r="B276" s="347"/>
      <c r="C276" s="108"/>
      <c r="D276" s="108"/>
      <c r="E276" s="349"/>
    </row>
    <row r="277" spans="1:5" ht="15">
      <c r="A277" s="151"/>
      <c r="B277" s="347"/>
      <c r="C277" s="108"/>
      <c r="D277" s="108"/>
      <c r="E277" s="349"/>
    </row>
    <row r="278" spans="1:5" ht="15">
      <c r="A278" s="151"/>
      <c r="B278" s="347"/>
      <c r="C278" s="108"/>
      <c r="D278" s="108"/>
      <c r="E278" s="349"/>
    </row>
    <row r="279" spans="1:5" ht="15">
      <c r="A279" s="151"/>
      <c r="B279" s="347"/>
      <c r="C279" s="108"/>
      <c r="D279" s="108"/>
      <c r="E279" s="349"/>
    </row>
    <row r="280" spans="1:5" ht="15">
      <c r="A280" s="151"/>
      <c r="B280" s="347"/>
      <c r="C280" s="108"/>
      <c r="D280" s="108"/>
      <c r="E280" s="349"/>
    </row>
    <row r="281" spans="1:5" ht="15">
      <c r="A281" s="151"/>
      <c r="B281" s="347"/>
      <c r="C281" s="108"/>
      <c r="D281" s="108"/>
      <c r="E281" s="349"/>
    </row>
    <row r="282" spans="1:5" ht="15">
      <c r="A282" s="151"/>
      <c r="B282" s="347"/>
      <c r="C282" s="108"/>
      <c r="D282" s="108"/>
      <c r="E282" s="349"/>
    </row>
    <row r="283" spans="1:5" ht="15">
      <c r="A283" s="151"/>
      <c r="B283" s="347"/>
      <c r="C283" s="108"/>
      <c r="D283" s="108"/>
      <c r="E283" s="349"/>
    </row>
    <row r="284" spans="1:5" ht="15">
      <c r="A284" s="151"/>
      <c r="B284" s="347"/>
      <c r="C284" s="108"/>
      <c r="D284" s="108"/>
      <c r="E284" s="349"/>
    </row>
    <row r="285" spans="1:5" ht="15">
      <c r="A285" s="151"/>
      <c r="B285" s="347"/>
      <c r="C285" s="108"/>
      <c r="D285" s="108"/>
      <c r="E285" s="349"/>
    </row>
    <row r="286" spans="1:5" ht="15">
      <c r="A286" s="151"/>
      <c r="B286" s="347"/>
      <c r="C286" s="108"/>
      <c r="D286" s="108"/>
      <c r="E286" s="349"/>
    </row>
    <row r="287" spans="1:5" ht="15">
      <c r="A287" s="151"/>
      <c r="B287" s="347"/>
      <c r="C287" s="108"/>
      <c r="D287" s="108"/>
      <c r="E287" s="349"/>
    </row>
    <row r="288" spans="1:5" ht="15">
      <c r="A288" s="151"/>
      <c r="B288" s="347"/>
      <c r="C288" s="108"/>
      <c r="D288" s="108"/>
      <c r="E288" s="349"/>
    </row>
    <row r="289" spans="1:5" ht="15">
      <c r="A289" s="151"/>
      <c r="B289" s="347"/>
      <c r="C289" s="108"/>
      <c r="D289" s="108"/>
      <c r="E289" s="349"/>
    </row>
    <row r="290" spans="1:5" ht="15">
      <c r="A290" s="151"/>
      <c r="B290" s="347"/>
      <c r="C290" s="108"/>
      <c r="D290" s="108"/>
      <c r="E290" s="349"/>
    </row>
    <row r="291" spans="1:5" ht="15">
      <c r="A291" s="151"/>
      <c r="B291" s="347"/>
      <c r="C291" s="108"/>
      <c r="D291" s="108"/>
      <c r="E291" s="349"/>
    </row>
    <row r="292" spans="1:5" ht="15">
      <c r="A292" s="151"/>
      <c r="B292" s="347"/>
      <c r="C292" s="108"/>
      <c r="D292" s="108"/>
      <c r="E292" s="349"/>
    </row>
    <row r="293" spans="1:5" ht="15">
      <c r="A293" s="151"/>
      <c r="B293" s="347"/>
      <c r="C293" s="108"/>
      <c r="D293" s="108"/>
      <c r="E293" s="349"/>
    </row>
    <row r="294" spans="1:5" ht="15">
      <c r="A294" s="151"/>
      <c r="B294" s="347"/>
      <c r="C294" s="108"/>
      <c r="D294" s="108"/>
      <c r="E294" s="349"/>
    </row>
    <row r="295" spans="1:5" ht="15">
      <c r="A295" s="151"/>
      <c r="B295" s="347"/>
      <c r="C295" s="108"/>
      <c r="D295" s="108"/>
      <c r="E295" s="349"/>
    </row>
    <row r="296" spans="1:5" ht="15">
      <c r="A296" s="151"/>
      <c r="B296" s="347"/>
      <c r="C296" s="108"/>
      <c r="D296" s="108"/>
      <c r="E296" s="349"/>
    </row>
    <row r="297" spans="1:5" ht="15">
      <c r="A297" s="151"/>
      <c r="B297" s="347"/>
      <c r="C297" s="108"/>
      <c r="D297" s="108"/>
      <c r="E297" s="349"/>
    </row>
    <row r="298" spans="1:5" ht="15">
      <c r="A298" s="151"/>
      <c r="B298" s="347"/>
      <c r="C298" s="108"/>
      <c r="D298" s="108"/>
      <c r="E298" s="349"/>
    </row>
    <row r="299" spans="1:5" ht="15">
      <c r="A299" s="151"/>
      <c r="B299" s="347"/>
      <c r="C299" s="108"/>
      <c r="D299" s="108"/>
      <c r="E299" s="349"/>
    </row>
    <row r="300" spans="1:5" ht="15">
      <c r="A300" s="151"/>
      <c r="B300" s="347"/>
      <c r="C300" s="108"/>
      <c r="D300" s="108"/>
      <c r="E300" s="349"/>
    </row>
    <row r="301" spans="1:5" ht="15">
      <c r="A301" s="151"/>
      <c r="B301" s="347"/>
      <c r="C301" s="108"/>
      <c r="D301" s="108"/>
      <c r="E301" s="349"/>
    </row>
    <row r="302" spans="1:5" ht="15">
      <c r="A302" s="151"/>
      <c r="B302" s="347"/>
      <c r="C302" s="108"/>
      <c r="D302" s="108"/>
      <c r="E302" s="349"/>
    </row>
    <row r="303" spans="1:5" ht="15">
      <c r="A303" s="151"/>
      <c r="B303" s="347"/>
      <c r="C303" s="108"/>
      <c r="D303" s="108"/>
      <c r="E303" s="349"/>
    </row>
    <row r="304" spans="1:5" ht="15">
      <c r="A304" s="151"/>
      <c r="B304" s="347"/>
      <c r="C304" s="108"/>
      <c r="D304" s="108"/>
      <c r="E304" s="349"/>
    </row>
    <row r="305" spans="1:5" ht="15">
      <c r="A305" s="151"/>
      <c r="B305" s="347"/>
      <c r="C305" s="108"/>
      <c r="D305" s="108"/>
      <c r="E305" s="349"/>
    </row>
    <row r="306" spans="1:5" ht="15">
      <c r="A306" s="151"/>
      <c r="B306" s="347"/>
      <c r="C306" s="108"/>
      <c r="D306" s="108"/>
      <c r="E306" s="349"/>
    </row>
    <row r="307" spans="1:5" ht="15">
      <c r="A307" s="151"/>
      <c r="B307" s="347"/>
      <c r="C307" s="108"/>
      <c r="D307" s="108"/>
      <c r="E307" s="349"/>
    </row>
    <row r="308" spans="1:5" ht="15">
      <c r="A308" s="151"/>
      <c r="B308" s="347"/>
      <c r="C308" s="108"/>
      <c r="D308" s="108"/>
      <c r="E308" s="349"/>
    </row>
    <row r="309" spans="1:5" ht="15">
      <c r="A309" s="151"/>
      <c r="B309" s="347"/>
      <c r="C309" s="108"/>
      <c r="D309" s="108"/>
      <c r="E309" s="349"/>
    </row>
    <row r="310" spans="1:5" ht="15">
      <c r="A310" s="151"/>
      <c r="B310" s="347"/>
      <c r="C310" s="108"/>
      <c r="D310" s="108"/>
      <c r="E310" s="349"/>
    </row>
    <row r="311" spans="1:5" ht="15">
      <c r="A311" s="151"/>
      <c r="B311" s="347"/>
      <c r="C311" s="108"/>
      <c r="D311" s="108"/>
      <c r="E311" s="349"/>
    </row>
    <row r="312" spans="1:5" ht="15">
      <c r="A312" s="151"/>
      <c r="B312" s="347"/>
      <c r="C312" s="108"/>
      <c r="D312" s="108"/>
      <c r="E312" s="349"/>
    </row>
    <row r="313" spans="1:5" ht="15">
      <c r="A313" s="151"/>
      <c r="B313" s="347"/>
      <c r="C313" s="108"/>
      <c r="D313" s="108"/>
      <c r="E313" s="349"/>
    </row>
    <row r="314" spans="1:5" ht="15">
      <c r="A314" s="151"/>
      <c r="B314" s="347"/>
      <c r="C314" s="108"/>
      <c r="D314" s="108"/>
      <c r="E314" s="349"/>
    </row>
    <row r="315" spans="1:5" ht="15">
      <c r="A315" s="151"/>
      <c r="B315" s="347"/>
      <c r="C315" s="108"/>
      <c r="D315" s="108"/>
      <c r="E315" s="349"/>
    </row>
    <row r="316" spans="1:5" ht="15">
      <c r="A316" s="151"/>
      <c r="B316" s="347"/>
      <c r="C316" s="108"/>
      <c r="D316" s="108"/>
      <c r="E316" s="349"/>
    </row>
    <row r="317" spans="1:5" ht="15">
      <c r="A317" s="151"/>
      <c r="B317" s="347"/>
      <c r="C317" s="108"/>
      <c r="D317" s="108"/>
      <c r="E317" s="349"/>
    </row>
    <row r="318" spans="1:5" ht="15">
      <c r="A318" s="151"/>
      <c r="B318" s="347"/>
      <c r="C318" s="108"/>
      <c r="D318" s="108"/>
      <c r="E318" s="349"/>
    </row>
    <row r="319" spans="1:5" ht="15">
      <c r="A319" s="151"/>
      <c r="B319" s="347"/>
      <c r="C319" s="108"/>
      <c r="D319" s="108"/>
      <c r="E319" s="349"/>
    </row>
    <row r="320" spans="1:5" ht="15">
      <c r="A320" s="151"/>
      <c r="B320" s="347"/>
      <c r="C320" s="108"/>
      <c r="D320" s="108"/>
      <c r="E320" s="349"/>
    </row>
    <row r="321" spans="1:5" ht="15">
      <c r="A321" s="151"/>
      <c r="B321" s="347"/>
      <c r="C321" s="108"/>
      <c r="D321" s="108"/>
      <c r="E321" s="349"/>
    </row>
    <row r="322" spans="1:5" ht="15">
      <c r="A322" s="151"/>
      <c r="B322" s="347"/>
      <c r="C322" s="108"/>
      <c r="D322" s="108"/>
      <c r="E322" s="349"/>
    </row>
    <row r="323" spans="1:5" ht="15">
      <c r="A323" s="151"/>
      <c r="B323" s="347"/>
      <c r="C323" s="108"/>
      <c r="D323" s="108"/>
      <c r="E323" s="349"/>
    </row>
    <row r="324" spans="1:5" ht="15">
      <c r="A324" s="151"/>
      <c r="B324" s="347"/>
      <c r="C324" s="108"/>
      <c r="D324" s="108"/>
      <c r="E324" s="349"/>
    </row>
    <row r="325" spans="1:5" ht="15">
      <c r="A325" s="151"/>
      <c r="B325" s="347"/>
      <c r="C325" s="108"/>
      <c r="D325" s="108"/>
      <c r="E325" s="349"/>
    </row>
    <row r="326" spans="1:5" ht="15">
      <c r="A326" s="151"/>
      <c r="B326" s="347"/>
      <c r="C326" s="108"/>
      <c r="D326" s="108"/>
      <c r="E326" s="349"/>
    </row>
    <row r="327" spans="1:5" ht="15">
      <c r="A327" s="151"/>
      <c r="B327" s="347"/>
      <c r="C327" s="108"/>
      <c r="D327" s="108"/>
      <c r="E327" s="349"/>
    </row>
    <row r="328" spans="1:5" ht="15">
      <c r="A328" s="151"/>
      <c r="B328" s="347"/>
      <c r="C328" s="108"/>
      <c r="D328" s="108"/>
      <c r="E328" s="349"/>
    </row>
    <row r="329" spans="1:5" ht="15">
      <c r="A329" s="151"/>
      <c r="B329" s="347"/>
      <c r="C329" s="108"/>
      <c r="D329" s="108"/>
      <c r="E329" s="349"/>
    </row>
    <row r="330" spans="1:5" ht="15">
      <c r="A330" s="151"/>
      <c r="B330" s="347"/>
      <c r="C330" s="108"/>
      <c r="D330" s="108"/>
      <c r="E330" s="349"/>
    </row>
    <row r="331" spans="1:5" ht="15">
      <c r="A331" s="151"/>
      <c r="B331" s="347"/>
      <c r="C331" s="108"/>
      <c r="D331" s="108"/>
      <c r="E331" s="349"/>
    </row>
    <row r="332" spans="1:5" ht="15">
      <c r="A332" s="151"/>
      <c r="B332" s="347"/>
      <c r="C332" s="108"/>
      <c r="D332" s="108"/>
      <c r="E332" s="349"/>
    </row>
    <row r="333" spans="1:5" ht="15">
      <c r="A333" s="151"/>
      <c r="B333" s="347"/>
      <c r="C333" s="108"/>
      <c r="D333" s="108"/>
      <c r="E333" s="349"/>
    </row>
    <row r="334" spans="1:5" ht="15">
      <c r="A334" s="151"/>
      <c r="B334" s="347"/>
      <c r="C334" s="108"/>
      <c r="D334" s="108"/>
      <c r="E334" s="349"/>
    </row>
    <row r="335" spans="1:5" ht="15">
      <c r="A335" s="151"/>
      <c r="B335" s="347"/>
      <c r="C335" s="108"/>
      <c r="D335" s="108"/>
      <c r="E335" s="349"/>
    </row>
    <row r="336" spans="1:5" ht="15">
      <c r="A336" s="151"/>
      <c r="B336" s="347"/>
      <c r="C336" s="108"/>
      <c r="D336" s="108"/>
      <c r="E336" s="349"/>
    </row>
    <row r="337" spans="1:5" ht="15">
      <c r="A337" s="151"/>
      <c r="B337" s="347"/>
      <c r="C337" s="108"/>
      <c r="D337" s="108"/>
      <c r="E337" s="349"/>
    </row>
    <row r="338" spans="1:5" ht="15">
      <c r="A338" s="151"/>
      <c r="B338" s="347"/>
      <c r="C338" s="108"/>
      <c r="D338" s="108"/>
      <c r="E338" s="349"/>
    </row>
    <row r="339" spans="1:5" ht="15">
      <c r="A339" s="151"/>
      <c r="B339" s="347"/>
      <c r="C339" s="108"/>
      <c r="D339" s="108"/>
      <c r="E339" s="349"/>
    </row>
    <row r="340" spans="1:5" ht="15">
      <c r="A340" s="151"/>
      <c r="B340" s="347"/>
      <c r="C340" s="108"/>
      <c r="D340" s="108"/>
      <c r="E340" s="349"/>
    </row>
    <row r="341" spans="1:5" ht="15">
      <c r="A341" s="151"/>
      <c r="B341" s="347"/>
      <c r="C341" s="108"/>
      <c r="D341" s="108"/>
      <c r="E341" s="349"/>
    </row>
    <row r="342" spans="1:5" ht="15">
      <c r="A342" s="151"/>
      <c r="B342" s="347"/>
      <c r="C342" s="108"/>
      <c r="D342" s="108"/>
      <c r="E342" s="349"/>
    </row>
    <row r="343" spans="1:5" ht="15">
      <c r="A343" s="151"/>
      <c r="B343" s="347"/>
      <c r="C343" s="108"/>
      <c r="D343" s="108"/>
      <c r="E343" s="349"/>
    </row>
    <row r="344" spans="1:5" ht="15">
      <c r="A344" s="151"/>
      <c r="B344" s="347"/>
      <c r="C344" s="108"/>
      <c r="D344" s="108"/>
      <c r="E344" s="349"/>
    </row>
    <row r="345" spans="1:5" ht="15">
      <c r="A345" s="151"/>
      <c r="B345" s="347"/>
      <c r="C345" s="108"/>
      <c r="D345" s="108"/>
      <c r="E345" s="349"/>
    </row>
    <row r="346" spans="1:5" ht="15">
      <c r="A346" s="151"/>
      <c r="B346" s="347"/>
      <c r="C346" s="108"/>
      <c r="D346" s="108"/>
      <c r="E346" s="349"/>
    </row>
    <row r="347" spans="1:5" ht="15">
      <c r="A347" s="151"/>
      <c r="B347" s="347"/>
      <c r="C347" s="108"/>
      <c r="D347" s="108"/>
      <c r="E347" s="349"/>
    </row>
    <row r="348" spans="1:5" ht="15">
      <c r="A348" s="151"/>
      <c r="B348" s="347"/>
      <c r="C348" s="108"/>
      <c r="D348" s="108"/>
      <c r="E348" s="349"/>
    </row>
    <row r="349" spans="1:5" ht="15">
      <c r="A349" s="151"/>
      <c r="B349" s="347"/>
      <c r="C349" s="108"/>
      <c r="D349" s="108"/>
      <c r="E349" s="349"/>
    </row>
    <row r="350" spans="1:5" ht="15">
      <c r="A350" s="151"/>
      <c r="B350" s="347"/>
      <c r="C350" s="108"/>
      <c r="D350" s="108"/>
      <c r="E350" s="349"/>
    </row>
    <row r="351" spans="1:5" ht="15">
      <c r="A351" s="151"/>
      <c r="B351" s="347"/>
      <c r="C351" s="108"/>
      <c r="D351" s="108"/>
      <c r="E351" s="349"/>
    </row>
    <row r="352" spans="1:5" ht="15">
      <c r="A352" s="151"/>
      <c r="B352" s="347"/>
      <c r="C352" s="108"/>
      <c r="D352" s="108"/>
      <c r="E352" s="349"/>
    </row>
    <row r="353" spans="1:5" ht="15">
      <c r="A353" s="151"/>
      <c r="B353" s="347"/>
      <c r="C353" s="108"/>
      <c r="D353" s="108"/>
      <c r="E353" s="349"/>
    </row>
    <row r="354" spans="1:5" ht="15">
      <c r="A354" s="151"/>
      <c r="B354" s="347"/>
      <c r="C354" s="108"/>
      <c r="D354" s="108"/>
      <c r="E354" s="349"/>
    </row>
    <row r="355" spans="1:5" ht="15">
      <c r="A355" s="151"/>
      <c r="B355" s="347"/>
      <c r="C355" s="108"/>
      <c r="D355" s="108"/>
      <c r="E355" s="349"/>
    </row>
    <row r="356" spans="1:5" ht="15">
      <c r="A356" s="151"/>
      <c r="B356" s="347"/>
      <c r="C356" s="108"/>
      <c r="D356" s="108"/>
      <c r="E356" s="349"/>
    </row>
    <row r="357" spans="1:5" ht="15">
      <c r="A357" s="151"/>
      <c r="B357" s="347"/>
      <c r="C357" s="108"/>
      <c r="D357" s="108"/>
      <c r="E357" s="349"/>
    </row>
    <row r="358" spans="1:5" ht="15">
      <c r="A358" s="151"/>
      <c r="B358" s="347"/>
      <c r="C358" s="108"/>
      <c r="D358" s="108"/>
      <c r="E358" s="349"/>
    </row>
    <row r="359" spans="1:5" ht="15">
      <c r="A359" s="151"/>
      <c r="B359" s="347"/>
      <c r="C359" s="108"/>
      <c r="D359" s="108"/>
      <c r="E359" s="349"/>
    </row>
    <row r="360" spans="1:5" ht="15">
      <c r="A360" s="151"/>
      <c r="B360" s="347"/>
      <c r="C360" s="108"/>
      <c r="D360" s="108"/>
      <c r="E360" s="349"/>
    </row>
    <row r="361" spans="1:5" ht="15">
      <c r="A361" s="151"/>
      <c r="B361" s="347"/>
      <c r="C361" s="108"/>
      <c r="D361" s="108"/>
      <c r="E361" s="349"/>
    </row>
    <row r="362" spans="1:5" ht="15">
      <c r="A362" s="151"/>
      <c r="B362" s="347"/>
      <c r="C362" s="108"/>
      <c r="D362" s="108"/>
      <c r="E362" s="349"/>
    </row>
    <row r="363" spans="1:5" ht="15">
      <c r="A363" s="151"/>
      <c r="B363" s="347"/>
      <c r="C363" s="108"/>
      <c r="D363" s="108"/>
      <c r="E363" s="349"/>
    </row>
    <row r="364" spans="1:5" ht="15">
      <c r="A364" s="151"/>
      <c r="B364" s="347"/>
      <c r="C364" s="108"/>
      <c r="D364" s="108"/>
      <c r="E364" s="349"/>
    </row>
    <row r="365" spans="1:5" ht="15">
      <c r="A365" s="151"/>
      <c r="B365" s="347"/>
      <c r="C365" s="108"/>
      <c r="D365" s="108"/>
      <c r="E365" s="349"/>
    </row>
    <row r="366" spans="1:5" ht="15">
      <c r="A366" s="151"/>
      <c r="B366" s="347"/>
      <c r="C366" s="108"/>
      <c r="D366" s="108"/>
      <c r="E366" s="349"/>
    </row>
    <row r="367" spans="1:5" ht="15">
      <c r="A367" s="151"/>
      <c r="B367" s="347"/>
      <c r="C367" s="108"/>
      <c r="D367" s="108"/>
      <c r="E367" s="349"/>
    </row>
    <row r="368" spans="1:5" ht="15">
      <c r="A368" s="151"/>
      <c r="B368" s="347"/>
      <c r="C368" s="108"/>
      <c r="D368" s="108"/>
      <c r="E368" s="349"/>
    </row>
    <row r="369" spans="1:5" ht="15">
      <c r="A369" s="151"/>
      <c r="B369" s="347"/>
      <c r="C369" s="108"/>
      <c r="D369" s="108"/>
      <c r="E369" s="349"/>
    </row>
    <row r="370" spans="1:5" ht="15">
      <c r="A370" s="151"/>
      <c r="B370" s="347"/>
      <c r="C370" s="108"/>
      <c r="D370" s="108"/>
      <c r="E370" s="349"/>
    </row>
    <row r="371" spans="1:5" ht="15">
      <c r="A371" s="151"/>
      <c r="B371" s="347"/>
      <c r="C371" s="108"/>
      <c r="D371" s="108"/>
      <c r="E371" s="349"/>
    </row>
    <row r="372" spans="1:5" ht="15">
      <c r="A372" s="151"/>
      <c r="B372" s="347"/>
      <c r="C372" s="108"/>
      <c r="D372" s="108"/>
      <c r="E372" s="349"/>
    </row>
    <row r="373" spans="1:5" ht="15">
      <c r="A373" s="151"/>
      <c r="B373" s="347"/>
      <c r="C373" s="108"/>
      <c r="D373" s="108"/>
      <c r="E373" s="349"/>
    </row>
    <row r="374" spans="1:5" ht="15">
      <c r="A374" s="151"/>
      <c r="B374" s="347"/>
      <c r="C374" s="108"/>
      <c r="D374" s="108"/>
      <c r="E374" s="349"/>
    </row>
    <row r="375" spans="1:5" ht="15">
      <c r="A375" s="151"/>
      <c r="B375" s="347"/>
      <c r="C375" s="108"/>
      <c r="D375" s="108"/>
      <c r="E375" s="349"/>
    </row>
    <row r="376" spans="1:5" ht="15">
      <c r="A376" s="151"/>
      <c r="B376" s="347"/>
      <c r="C376" s="108"/>
      <c r="D376" s="108"/>
      <c r="E376" s="349"/>
    </row>
    <row r="377" spans="1:5" ht="15">
      <c r="A377" s="151"/>
      <c r="B377" s="347"/>
      <c r="C377" s="108"/>
      <c r="D377" s="108"/>
      <c r="E377" s="349"/>
    </row>
    <row r="378" spans="1:5" ht="15">
      <c r="A378" s="151"/>
      <c r="B378" s="347"/>
      <c r="C378" s="108"/>
      <c r="D378" s="108"/>
      <c r="E378" s="349"/>
    </row>
    <row r="379" spans="1:5" ht="15">
      <c r="A379" s="151"/>
      <c r="B379" s="347"/>
      <c r="C379" s="108"/>
      <c r="D379" s="108"/>
      <c r="E379" s="349"/>
    </row>
    <row r="380" spans="1:5" ht="15">
      <c r="A380" s="151"/>
      <c r="B380" s="347"/>
      <c r="C380" s="108"/>
      <c r="D380" s="108"/>
      <c r="E380" s="349"/>
    </row>
    <row r="381" spans="1:5" ht="15">
      <c r="A381" s="151"/>
      <c r="B381" s="347"/>
      <c r="C381" s="108"/>
      <c r="D381" s="108"/>
      <c r="E381" s="349"/>
    </row>
    <row r="382" spans="1:5" ht="15">
      <c r="A382" s="151"/>
      <c r="B382" s="347"/>
      <c r="C382" s="108"/>
      <c r="D382" s="108"/>
      <c r="E382" s="349"/>
    </row>
    <row r="383" spans="1:5" ht="15">
      <c r="A383" s="151"/>
      <c r="B383" s="347"/>
      <c r="C383" s="108"/>
      <c r="D383" s="108"/>
      <c r="E383" s="349"/>
    </row>
    <row r="384" spans="1:5" ht="15">
      <c r="A384" s="151"/>
      <c r="B384" s="347"/>
      <c r="C384" s="108"/>
      <c r="D384" s="108"/>
      <c r="E384" s="349"/>
    </row>
    <row r="385" spans="1:5" ht="15">
      <c r="A385" s="151"/>
      <c r="B385" s="347"/>
      <c r="C385" s="108"/>
      <c r="D385" s="108"/>
      <c r="E385" s="349"/>
    </row>
    <row r="386" spans="1:5" ht="15">
      <c r="A386" s="151"/>
      <c r="B386" s="347"/>
      <c r="C386" s="108"/>
      <c r="D386" s="108"/>
      <c r="E386" s="349"/>
    </row>
    <row r="387" spans="1:5" ht="15">
      <c r="A387" s="151"/>
      <c r="B387" s="347"/>
      <c r="C387" s="108"/>
      <c r="D387" s="108"/>
      <c r="E387" s="349"/>
    </row>
    <row r="388" spans="1:5" ht="15">
      <c r="A388" s="151"/>
      <c r="B388" s="347"/>
      <c r="C388" s="108"/>
      <c r="D388" s="108"/>
      <c r="E388" s="349"/>
    </row>
    <row r="389" spans="1:5" ht="15">
      <c r="A389" s="151"/>
      <c r="B389" s="347"/>
      <c r="C389" s="108"/>
      <c r="D389" s="108"/>
      <c r="E389" s="349"/>
    </row>
    <row r="390" spans="1:5" ht="15">
      <c r="A390" s="151"/>
      <c r="B390" s="347"/>
      <c r="C390" s="108"/>
      <c r="D390" s="108"/>
      <c r="E390" s="349"/>
    </row>
    <row r="391" spans="1:5" ht="15">
      <c r="A391" s="151"/>
      <c r="B391" s="347"/>
      <c r="C391" s="108"/>
      <c r="D391" s="108"/>
      <c r="E391" s="349"/>
    </row>
    <row r="392" spans="1:5" ht="15">
      <c r="A392" s="151"/>
      <c r="B392" s="347"/>
      <c r="C392" s="108"/>
      <c r="D392" s="108"/>
      <c r="E392" s="349"/>
    </row>
    <row r="393" spans="1:5" ht="15">
      <c r="A393" s="151"/>
      <c r="B393" s="347"/>
      <c r="C393" s="108"/>
      <c r="D393" s="108"/>
      <c r="E393" s="349"/>
    </row>
    <row r="394" spans="1:5" ht="15">
      <c r="A394" s="151"/>
      <c r="B394" s="347"/>
      <c r="C394" s="108"/>
      <c r="D394" s="108"/>
      <c r="E394" s="349"/>
    </row>
    <row r="395" spans="1:5" ht="15">
      <c r="A395" s="151"/>
      <c r="B395" s="347"/>
      <c r="C395" s="108"/>
      <c r="D395" s="108"/>
      <c r="E395" s="349"/>
    </row>
    <row r="396" spans="1:5" ht="15">
      <c r="A396" s="151"/>
      <c r="B396" s="347"/>
      <c r="C396" s="108"/>
      <c r="D396" s="108"/>
      <c r="E396" s="349"/>
    </row>
    <row r="397" spans="1:5" ht="15">
      <c r="A397" s="151"/>
      <c r="B397" s="347"/>
      <c r="C397" s="108"/>
      <c r="D397" s="108"/>
      <c r="E397" s="349"/>
    </row>
    <row r="398" spans="1:5" ht="15">
      <c r="A398" s="151"/>
      <c r="B398" s="347"/>
      <c r="C398" s="108"/>
      <c r="D398" s="108"/>
      <c r="E398" s="349"/>
    </row>
    <row r="399" spans="1:5" ht="15">
      <c r="A399" s="151"/>
      <c r="B399" s="347"/>
      <c r="C399" s="108"/>
      <c r="D399" s="108"/>
      <c r="E399" s="349"/>
    </row>
    <row r="400" spans="1:5" ht="15">
      <c r="A400" s="151"/>
      <c r="B400" s="347"/>
      <c r="C400" s="108"/>
      <c r="D400" s="108"/>
      <c r="E400" s="349"/>
    </row>
    <row r="401" spans="1:5" ht="15">
      <c r="A401" s="151"/>
      <c r="B401" s="347"/>
      <c r="C401" s="108"/>
      <c r="D401" s="108"/>
      <c r="E401" s="349"/>
    </row>
    <row r="402" spans="1:5" ht="15">
      <c r="A402" s="151"/>
      <c r="B402" s="347"/>
      <c r="C402" s="108"/>
      <c r="D402" s="108"/>
      <c r="E402" s="349"/>
    </row>
    <row r="403" spans="1:5" ht="15">
      <c r="A403" s="151"/>
      <c r="B403" s="347"/>
      <c r="C403" s="108"/>
      <c r="D403" s="108"/>
      <c r="E403" s="349"/>
    </row>
    <row r="404" spans="1:5" ht="15">
      <c r="A404" s="151"/>
      <c r="B404" s="347"/>
      <c r="C404" s="108"/>
      <c r="D404" s="108"/>
      <c r="E404" s="349"/>
    </row>
    <row r="405" spans="1:5" ht="15">
      <c r="A405" s="151"/>
      <c r="B405" s="347"/>
      <c r="C405" s="108"/>
      <c r="D405" s="108"/>
      <c r="E405" s="349"/>
    </row>
    <row r="406" spans="1:5" ht="15">
      <c r="A406" s="151"/>
      <c r="B406" s="347"/>
      <c r="C406" s="108"/>
      <c r="D406" s="108"/>
      <c r="E406" s="349"/>
    </row>
    <row r="407" spans="1:5" ht="15">
      <c r="A407" s="151"/>
      <c r="B407" s="347"/>
      <c r="C407" s="108"/>
      <c r="D407" s="108"/>
      <c r="E407" s="349"/>
    </row>
    <row r="408" spans="1:5" ht="15">
      <c r="A408" s="151"/>
      <c r="B408" s="347"/>
      <c r="C408" s="108"/>
      <c r="D408" s="108"/>
      <c r="E408" s="349"/>
    </row>
    <row r="409" spans="1:5" ht="15">
      <c r="A409" s="151"/>
      <c r="B409" s="347"/>
      <c r="C409" s="108"/>
      <c r="D409" s="108"/>
      <c r="E409" s="349"/>
    </row>
    <row r="410" spans="1:5" ht="15">
      <c r="A410" s="151"/>
      <c r="B410" s="347"/>
      <c r="C410" s="108"/>
      <c r="D410" s="108"/>
      <c r="E410" s="349"/>
    </row>
    <row r="411" spans="1:5" ht="15">
      <c r="A411" s="151"/>
      <c r="B411" s="347"/>
      <c r="C411" s="108"/>
      <c r="D411" s="108"/>
      <c r="E411" s="349"/>
    </row>
    <row r="412" spans="1:5" ht="15">
      <c r="A412" s="151"/>
      <c r="B412" s="347"/>
      <c r="C412" s="108"/>
      <c r="D412" s="108"/>
      <c r="E412" s="349"/>
    </row>
    <row r="413" spans="1:5" ht="15">
      <c r="A413" s="151"/>
      <c r="B413" s="347"/>
      <c r="C413" s="108"/>
      <c r="D413" s="108"/>
      <c r="E413" s="349"/>
    </row>
    <row r="414" spans="1:5" ht="15">
      <c r="A414" s="151"/>
      <c r="B414" s="347"/>
      <c r="C414" s="108"/>
      <c r="D414" s="108"/>
      <c r="E414" s="349"/>
    </row>
    <row r="415" spans="1:5" ht="15">
      <c r="A415" s="151"/>
      <c r="B415" s="347"/>
      <c r="C415" s="108"/>
      <c r="D415" s="108"/>
      <c r="E415" s="349"/>
    </row>
    <row r="416" spans="1:5" ht="15">
      <c r="A416" s="151"/>
      <c r="B416" s="347"/>
      <c r="C416" s="108"/>
      <c r="D416" s="108"/>
      <c r="E416" s="349"/>
    </row>
    <row r="417" spans="1:5" ht="15">
      <c r="A417" s="151"/>
      <c r="B417" s="347"/>
      <c r="C417" s="108"/>
      <c r="D417" s="108"/>
      <c r="E417" s="349"/>
    </row>
    <row r="418" spans="1:5" ht="15">
      <c r="A418" s="151"/>
      <c r="B418" s="347"/>
      <c r="C418" s="108"/>
      <c r="D418" s="108"/>
      <c r="E418" s="349"/>
    </row>
    <row r="419" spans="1:5" ht="15">
      <c r="A419" s="151"/>
      <c r="B419" s="347"/>
      <c r="C419" s="108"/>
      <c r="D419" s="108"/>
      <c r="E419" s="349"/>
    </row>
    <row r="420" spans="1:5" ht="15">
      <c r="A420" s="151"/>
      <c r="B420" s="347"/>
      <c r="C420" s="108"/>
      <c r="D420" s="108"/>
      <c r="E420" s="349"/>
    </row>
    <row r="421" spans="1:5" ht="15">
      <c r="A421" s="151"/>
      <c r="B421" s="347"/>
      <c r="C421" s="108"/>
      <c r="D421" s="108"/>
      <c r="E421" s="349"/>
    </row>
    <row r="422" spans="1:5" ht="15">
      <c r="A422" s="151"/>
      <c r="B422" s="347"/>
      <c r="C422" s="108"/>
      <c r="D422" s="108"/>
      <c r="E422" s="349"/>
    </row>
    <row r="423" spans="1:5" ht="15">
      <c r="A423" s="151"/>
      <c r="B423" s="347"/>
      <c r="C423" s="108"/>
      <c r="D423" s="108"/>
      <c r="E423" s="349"/>
    </row>
    <row r="424" spans="1:5" ht="15">
      <c r="A424" s="151"/>
      <c r="B424" s="347"/>
      <c r="C424" s="108"/>
      <c r="D424" s="108"/>
      <c r="E424" s="349"/>
    </row>
    <row r="425" spans="1:5" ht="15">
      <c r="A425" s="151"/>
      <c r="B425" s="347"/>
      <c r="C425" s="108"/>
      <c r="D425" s="108"/>
      <c r="E425" s="349"/>
    </row>
    <row r="426" spans="1:5" ht="15">
      <c r="A426" s="151"/>
      <c r="B426" s="347"/>
      <c r="C426" s="108"/>
      <c r="D426" s="108"/>
      <c r="E426" s="349"/>
    </row>
    <row r="427" spans="1:5" ht="15">
      <c r="A427" s="151"/>
      <c r="B427" s="347"/>
      <c r="C427" s="108"/>
      <c r="D427" s="108"/>
      <c r="E427" s="349"/>
    </row>
    <row r="428" spans="1:5" ht="15">
      <c r="A428" s="151"/>
      <c r="B428" s="347"/>
      <c r="C428" s="108"/>
      <c r="D428" s="108"/>
      <c r="E428" s="349"/>
    </row>
    <row r="429" spans="1:5" ht="15">
      <c r="A429" s="151"/>
      <c r="B429" s="347"/>
      <c r="C429" s="108"/>
      <c r="D429" s="108"/>
      <c r="E429" s="349"/>
    </row>
    <row r="430" spans="1:5" ht="15">
      <c r="A430" s="151"/>
      <c r="B430" s="347"/>
      <c r="C430" s="108"/>
      <c r="D430" s="108"/>
      <c r="E430" s="349"/>
    </row>
    <row r="431" spans="1:5" ht="15">
      <c r="A431" s="151"/>
      <c r="B431" s="347"/>
      <c r="C431" s="108"/>
      <c r="D431" s="108"/>
      <c r="E431" s="349"/>
    </row>
    <row r="432" spans="1:5" ht="15">
      <c r="A432" s="151"/>
      <c r="B432" s="347"/>
      <c r="C432" s="108"/>
      <c r="D432" s="108"/>
      <c r="E432" s="349"/>
    </row>
    <row r="433" spans="1:5" ht="15">
      <c r="A433" s="151"/>
      <c r="B433" s="347"/>
      <c r="C433" s="108"/>
      <c r="D433" s="108"/>
      <c r="E433" s="349"/>
    </row>
    <row r="434" spans="1:5" ht="15">
      <c r="A434" s="151"/>
      <c r="B434" s="347"/>
      <c r="C434" s="108"/>
      <c r="D434" s="108"/>
      <c r="E434" s="349"/>
    </row>
    <row r="435" spans="1:5" ht="15">
      <c r="A435" s="151"/>
      <c r="B435" s="347"/>
      <c r="C435" s="108"/>
      <c r="D435" s="108"/>
      <c r="E435" s="349"/>
    </row>
    <row r="436" spans="1:5" ht="15">
      <c r="A436" s="151"/>
      <c r="B436" s="347"/>
      <c r="C436" s="108"/>
      <c r="D436" s="108"/>
      <c r="E436" s="349"/>
    </row>
    <row r="437" spans="1:5" ht="15">
      <c r="A437" s="151"/>
      <c r="B437" s="347"/>
      <c r="C437" s="108"/>
      <c r="D437" s="108"/>
      <c r="E437" s="349"/>
    </row>
    <row r="438" spans="1:5" ht="15">
      <c r="A438" s="151"/>
      <c r="B438" s="347"/>
      <c r="C438" s="108"/>
      <c r="D438" s="108"/>
      <c r="E438" s="349"/>
    </row>
    <row r="439" spans="1:5" ht="15">
      <c r="A439" s="151"/>
      <c r="B439" s="347"/>
      <c r="C439" s="108"/>
      <c r="D439" s="108"/>
      <c r="E439" s="349"/>
    </row>
    <row r="440" spans="1:5" ht="15">
      <c r="A440" s="151"/>
      <c r="B440" s="347"/>
      <c r="C440" s="108"/>
      <c r="D440" s="108"/>
      <c r="E440" s="349"/>
    </row>
    <row r="441" spans="1:5" ht="15">
      <c r="A441" s="151"/>
      <c r="B441" s="347"/>
      <c r="C441" s="108"/>
      <c r="D441" s="108"/>
      <c r="E441" s="349"/>
    </row>
    <row r="442" spans="1:5" ht="15">
      <c r="A442" s="151"/>
      <c r="B442" s="347"/>
      <c r="C442" s="108"/>
      <c r="D442" s="108"/>
      <c r="E442" s="349"/>
    </row>
    <row r="443" spans="1:5" ht="15">
      <c r="A443" s="151"/>
      <c r="B443" s="347"/>
      <c r="C443" s="108"/>
      <c r="D443" s="108"/>
      <c r="E443" s="349"/>
    </row>
    <row r="444" spans="1:5" ht="15">
      <c r="A444" s="151"/>
      <c r="B444" s="347"/>
      <c r="C444" s="108"/>
      <c r="D444" s="108"/>
      <c r="E444" s="349"/>
    </row>
    <row r="445" spans="1:5" ht="15">
      <c r="A445" s="151"/>
      <c r="B445" s="347"/>
      <c r="C445" s="108"/>
      <c r="D445" s="108"/>
      <c r="E445" s="349"/>
    </row>
    <row r="446" spans="1:5" ht="15">
      <c r="A446" s="151"/>
      <c r="B446" s="347"/>
      <c r="C446" s="108"/>
      <c r="D446" s="108"/>
      <c r="E446" s="349"/>
    </row>
    <row r="447" spans="1:5" ht="15">
      <c r="A447" s="151"/>
      <c r="B447" s="347"/>
      <c r="C447" s="108"/>
      <c r="D447" s="108"/>
      <c r="E447" s="349"/>
    </row>
    <row r="448" spans="1:5" ht="15">
      <c r="A448" s="151"/>
      <c r="B448" s="347"/>
      <c r="C448" s="108"/>
      <c r="D448" s="108"/>
      <c r="E448" s="349"/>
    </row>
    <row r="449" spans="1:5" ht="15">
      <c r="A449" s="151"/>
      <c r="B449" s="347"/>
      <c r="C449" s="108"/>
      <c r="D449" s="108"/>
      <c r="E449" s="349"/>
    </row>
    <row r="450" spans="1:5" ht="15">
      <c r="A450" s="151"/>
      <c r="B450" s="347"/>
      <c r="C450" s="108"/>
      <c r="D450" s="108"/>
      <c r="E450" s="349"/>
    </row>
    <row r="451" spans="1:5" ht="15">
      <c r="A451" s="151"/>
      <c r="B451" s="347"/>
      <c r="C451" s="108"/>
      <c r="D451" s="108"/>
      <c r="E451" s="349"/>
    </row>
    <row r="452" spans="1:5" ht="15">
      <c r="A452" s="151"/>
      <c r="B452" s="347"/>
      <c r="C452" s="108"/>
      <c r="D452" s="108"/>
      <c r="E452" s="349"/>
    </row>
    <row r="453" spans="1:5" ht="15">
      <c r="A453" s="151"/>
      <c r="B453" s="347"/>
      <c r="C453" s="108"/>
      <c r="D453" s="108"/>
      <c r="E453" s="349"/>
    </row>
    <row r="454" spans="1:5" ht="15">
      <c r="A454" s="151"/>
      <c r="B454" s="347"/>
      <c r="C454" s="108"/>
      <c r="D454" s="108"/>
      <c r="E454" s="349"/>
    </row>
    <row r="455" spans="1:5" ht="15">
      <c r="A455" s="151"/>
      <c r="B455" s="347"/>
      <c r="C455" s="108"/>
      <c r="D455" s="108"/>
      <c r="E455" s="349"/>
    </row>
    <row r="456" spans="1:5" ht="15">
      <c r="A456" s="151"/>
      <c r="B456" s="347"/>
      <c r="C456" s="108"/>
      <c r="D456" s="108"/>
      <c r="E456" s="349"/>
    </row>
    <row r="457" spans="1:5" ht="15">
      <c r="A457" s="151"/>
      <c r="B457" s="347"/>
      <c r="C457" s="108"/>
      <c r="D457" s="108"/>
      <c r="E457" s="349"/>
    </row>
    <row r="458" spans="1:5" ht="15">
      <c r="A458" s="151"/>
      <c r="B458" s="347"/>
      <c r="C458" s="108"/>
      <c r="D458" s="108"/>
      <c r="E458" s="349"/>
    </row>
    <row r="459" spans="1:5" ht="15">
      <c r="A459" s="151"/>
      <c r="B459" s="347"/>
      <c r="C459" s="108"/>
      <c r="D459" s="108"/>
      <c r="E459" s="349"/>
    </row>
    <row r="460" spans="1:5" ht="15">
      <c r="A460" s="151"/>
      <c r="B460" s="347"/>
      <c r="C460" s="108"/>
      <c r="D460" s="108"/>
      <c r="E460" s="349"/>
    </row>
    <row r="461" spans="1:5" ht="15">
      <c r="A461" s="151"/>
      <c r="B461" s="347"/>
      <c r="C461" s="108"/>
      <c r="D461" s="108"/>
      <c r="E461" s="349"/>
    </row>
    <row r="462" spans="1:5" ht="15">
      <c r="A462" s="151"/>
      <c r="B462" s="347"/>
      <c r="C462" s="108"/>
      <c r="D462" s="108"/>
      <c r="E462" s="349"/>
    </row>
    <row r="463" spans="1:5" ht="15">
      <c r="A463" s="151"/>
      <c r="B463" s="347"/>
      <c r="C463" s="108"/>
      <c r="D463" s="108"/>
      <c r="E463" s="349"/>
    </row>
    <row r="464" spans="1:5" ht="15">
      <c r="A464" s="151"/>
      <c r="B464" s="347"/>
      <c r="C464" s="108"/>
      <c r="D464" s="108"/>
      <c r="E464" s="349"/>
    </row>
    <row r="465" spans="1:5" ht="15">
      <c r="A465" s="151"/>
      <c r="B465" s="347"/>
      <c r="C465" s="108"/>
      <c r="D465" s="108"/>
      <c r="E465" s="349"/>
    </row>
    <row r="466" spans="1:5" ht="15">
      <c r="A466" s="151"/>
      <c r="B466" s="347"/>
      <c r="C466" s="108"/>
      <c r="D466" s="108"/>
      <c r="E466" s="349"/>
    </row>
    <row r="467" spans="1:5" ht="15">
      <c r="A467" s="151"/>
      <c r="B467" s="347"/>
      <c r="C467" s="108"/>
      <c r="D467" s="108"/>
      <c r="E467" s="349"/>
    </row>
    <row r="468" spans="1:5" ht="15">
      <c r="A468" s="151"/>
      <c r="B468" s="347"/>
      <c r="C468" s="108"/>
      <c r="D468" s="108"/>
      <c r="E468" s="349"/>
    </row>
    <row r="469" spans="1:5" ht="15">
      <c r="A469" s="151"/>
      <c r="B469" s="347"/>
      <c r="C469" s="108"/>
      <c r="D469" s="108"/>
      <c r="E469" s="349"/>
    </row>
    <row r="470" spans="1:5" ht="15">
      <c r="A470" s="151"/>
      <c r="B470" s="347"/>
      <c r="C470" s="108"/>
      <c r="D470" s="108"/>
      <c r="E470" s="349"/>
    </row>
    <row r="471" spans="1:5" ht="15">
      <c r="A471" s="151"/>
      <c r="B471" s="347"/>
      <c r="C471" s="108"/>
      <c r="D471" s="108"/>
      <c r="E471" s="349"/>
    </row>
    <row r="472" spans="1:5" ht="15">
      <c r="A472" s="151"/>
      <c r="B472" s="347"/>
      <c r="C472" s="108"/>
      <c r="D472" s="108"/>
      <c r="E472" s="349"/>
    </row>
    <row r="473" spans="1:5" ht="15">
      <c r="A473" s="151"/>
      <c r="B473" s="347"/>
      <c r="C473" s="108"/>
      <c r="D473" s="108"/>
      <c r="E473" s="349"/>
    </row>
    <row r="474" spans="1:5" ht="15">
      <c r="A474" s="151"/>
      <c r="B474" s="347"/>
      <c r="C474" s="108"/>
      <c r="D474" s="108"/>
      <c r="E474" s="349"/>
    </row>
    <row r="475" spans="1:5" ht="15">
      <c r="A475" s="151"/>
      <c r="B475" s="347"/>
      <c r="C475" s="108"/>
      <c r="D475" s="108"/>
      <c r="E475" s="349"/>
    </row>
    <row r="476" spans="1:5" ht="15">
      <c r="A476" s="151"/>
      <c r="B476" s="347"/>
      <c r="C476" s="108"/>
      <c r="D476" s="108"/>
      <c r="E476" s="349"/>
    </row>
    <row r="477" spans="1:5" ht="15">
      <c r="A477" s="151"/>
      <c r="B477" s="347"/>
      <c r="C477" s="108"/>
      <c r="D477" s="108"/>
      <c r="E477" s="349"/>
    </row>
    <row r="478" spans="1:5" ht="15">
      <c r="A478" s="151"/>
      <c r="B478" s="347"/>
      <c r="C478" s="108"/>
      <c r="D478" s="108"/>
      <c r="E478" s="349"/>
    </row>
    <row r="479" spans="1:5" ht="15">
      <c r="A479" s="151"/>
      <c r="B479" s="347"/>
      <c r="C479" s="108"/>
      <c r="D479" s="108"/>
      <c r="E479" s="349"/>
    </row>
    <row r="480" spans="1:5" ht="15">
      <c r="A480" s="151"/>
      <c r="B480" s="347"/>
      <c r="C480" s="108"/>
      <c r="D480" s="108"/>
      <c r="E480" s="349"/>
    </row>
    <row r="481" spans="1:5" ht="15">
      <c r="A481" s="151"/>
      <c r="B481" s="347"/>
      <c r="C481" s="108"/>
      <c r="D481" s="108"/>
      <c r="E481" s="349"/>
    </row>
    <row r="482" spans="1:5" ht="15">
      <c r="A482" s="151"/>
      <c r="B482" s="347"/>
      <c r="C482" s="108"/>
      <c r="D482" s="108"/>
      <c r="E482" s="349"/>
    </row>
    <row r="483" spans="1:5" ht="15">
      <c r="A483" s="151"/>
      <c r="B483" s="347"/>
      <c r="C483" s="108"/>
      <c r="D483" s="108"/>
      <c r="E483" s="349"/>
    </row>
    <row r="484" spans="1:5" ht="15">
      <c r="A484" s="151"/>
      <c r="B484" s="347"/>
      <c r="C484" s="108"/>
      <c r="D484" s="108"/>
      <c r="E484" s="349"/>
    </row>
    <row r="485" spans="1:5" ht="15">
      <c r="A485" s="151"/>
      <c r="B485" s="347"/>
      <c r="C485" s="108"/>
      <c r="D485" s="108"/>
      <c r="E485" s="349"/>
    </row>
    <row r="486" spans="1:5" ht="15">
      <c r="A486" s="151"/>
      <c r="B486" s="347"/>
      <c r="C486" s="108"/>
      <c r="D486" s="108"/>
      <c r="E486" s="349"/>
    </row>
    <row r="487" spans="1:5" ht="15">
      <c r="A487" s="151"/>
      <c r="B487" s="347"/>
      <c r="C487" s="108"/>
      <c r="D487" s="108"/>
      <c r="E487" s="349"/>
    </row>
    <row r="488" spans="1:5" ht="15">
      <c r="A488" s="151"/>
      <c r="B488" s="347"/>
      <c r="C488" s="108"/>
      <c r="D488" s="108"/>
      <c r="E488" s="349"/>
    </row>
    <row r="489" spans="1:5" ht="15">
      <c r="A489" s="151"/>
      <c r="B489" s="347"/>
      <c r="C489" s="108"/>
      <c r="D489" s="108"/>
      <c r="E489" s="349"/>
    </row>
    <row r="490" spans="1:5" ht="15">
      <c r="A490" s="151"/>
      <c r="B490" s="347"/>
      <c r="C490" s="108"/>
      <c r="D490" s="108"/>
      <c r="E490" s="349"/>
    </row>
    <row r="491" spans="1:5" ht="15">
      <c r="A491" s="151"/>
      <c r="B491" s="347"/>
      <c r="C491" s="108"/>
      <c r="D491" s="108"/>
      <c r="E491" s="349"/>
    </row>
    <row r="492" spans="1:5" ht="15">
      <c r="A492" s="151"/>
      <c r="B492" s="347"/>
      <c r="C492" s="108"/>
      <c r="D492" s="108"/>
      <c r="E492" s="349"/>
    </row>
    <row r="493" spans="1:5" ht="15">
      <c r="A493" s="151"/>
      <c r="B493" s="347"/>
      <c r="C493" s="108"/>
      <c r="D493" s="108"/>
      <c r="E493" s="349"/>
    </row>
    <row r="494" spans="1:5" ht="15">
      <c r="A494" s="151"/>
      <c r="B494" s="347"/>
      <c r="C494" s="108"/>
      <c r="D494" s="108"/>
      <c r="E494" s="349"/>
    </row>
    <row r="495" spans="1:5" ht="15">
      <c r="A495" s="151"/>
      <c r="B495" s="347"/>
      <c r="C495" s="108"/>
      <c r="D495" s="108"/>
      <c r="E495" s="349"/>
    </row>
    <row r="496" spans="1:5" ht="15">
      <c r="A496" s="151"/>
      <c r="B496" s="347"/>
      <c r="C496" s="108"/>
      <c r="D496" s="108"/>
      <c r="E496" s="349"/>
    </row>
    <row r="497" spans="1:5" ht="15">
      <c r="A497" s="151"/>
      <c r="B497" s="347"/>
      <c r="C497" s="108"/>
      <c r="D497" s="108"/>
      <c r="E497" s="349"/>
    </row>
    <row r="498" spans="1:5" ht="15">
      <c r="A498" s="151"/>
      <c r="B498" s="347"/>
      <c r="C498" s="108"/>
      <c r="D498" s="108"/>
      <c r="E498" s="349"/>
    </row>
    <row r="499" spans="1:5" ht="15">
      <c r="A499" s="151"/>
      <c r="B499" s="347"/>
      <c r="C499" s="108"/>
      <c r="D499" s="108"/>
      <c r="E499" s="349"/>
    </row>
    <row r="500" spans="1:5" ht="15">
      <c r="A500" s="151"/>
      <c r="B500" s="347"/>
      <c r="C500" s="108"/>
      <c r="D500" s="108"/>
      <c r="E500" s="349"/>
    </row>
    <row r="501" spans="1:5" ht="15">
      <c r="A501" s="151"/>
      <c r="B501" s="347"/>
      <c r="C501" s="108"/>
      <c r="D501" s="108"/>
      <c r="E501" s="349"/>
    </row>
    <row r="502" spans="1:5" ht="15">
      <c r="A502" s="151"/>
      <c r="B502" s="347"/>
      <c r="C502" s="108"/>
      <c r="D502" s="108"/>
      <c r="E502" s="349"/>
    </row>
    <row r="503" spans="1:5" ht="15">
      <c r="A503" s="151"/>
      <c r="B503" s="347"/>
      <c r="C503" s="108"/>
      <c r="D503" s="108"/>
      <c r="E503" s="349"/>
    </row>
    <row r="504" spans="1:5" ht="15">
      <c r="A504" s="151"/>
      <c r="B504" s="347"/>
      <c r="C504" s="108"/>
      <c r="D504" s="108"/>
      <c r="E504" s="349"/>
    </row>
    <row r="505" spans="1:5" ht="15">
      <c r="A505" s="151"/>
      <c r="B505" s="347"/>
      <c r="C505" s="108"/>
      <c r="D505" s="108"/>
      <c r="E505" s="349"/>
    </row>
    <row r="506" spans="1:5" ht="15">
      <c r="A506" s="151"/>
      <c r="B506" s="347"/>
      <c r="C506" s="108"/>
      <c r="D506" s="108"/>
      <c r="E506" s="349"/>
    </row>
    <row r="507" spans="1:5" ht="15">
      <c r="A507" s="151"/>
      <c r="B507" s="347"/>
      <c r="C507" s="108"/>
      <c r="D507" s="108"/>
      <c r="E507" s="349"/>
    </row>
    <row r="508" spans="1:5" ht="15">
      <c r="A508" s="151"/>
      <c r="B508" s="347"/>
      <c r="C508" s="108"/>
      <c r="D508" s="108"/>
      <c r="E508" s="349"/>
    </row>
    <row r="509" spans="1:5" ht="15">
      <c r="A509" s="151"/>
      <c r="B509" s="347"/>
      <c r="C509" s="108"/>
      <c r="D509" s="108"/>
      <c r="E509" s="349"/>
    </row>
    <row r="510" spans="1:5" ht="15">
      <c r="A510" s="151"/>
      <c r="B510" s="347"/>
      <c r="C510" s="108"/>
      <c r="D510" s="108"/>
      <c r="E510" s="349"/>
    </row>
    <row r="511" spans="1:5" ht="15">
      <c r="A511" s="151"/>
      <c r="B511" s="347"/>
      <c r="C511" s="108"/>
      <c r="D511" s="108"/>
      <c r="E511" s="349"/>
    </row>
    <row r="512" spans="1:5" ht="15">
      <c r="A512" s="151"/>
      <c r="B512" s="347"/>
      <c r="C512" s="108"/>
      <c r="D512" s="108"/>
      <c r="E512" s="349"/>
    </row>
    <row r="513" spans="1:5" ht="15">
      <c r="A513" s="151"/>
      <c r="B513" s="347"/>
      <c r="C513" s="108"/>
      <c r="D513" s="108"/>
      <c r="E513" s="349"/>
    </row>
    <row r="514" spans="1:5" ht="15">
      <c r="A514" s="151"/>
      <c r="B514" s="347"/>
      <c r="C514" s="108"/>
      <c r="D514" s="108"/>
      <c r="E514" s="349"/>
    </row>
    <row r="515" spans="1:5" ht="15">
      <c r="A515" s="151"/>
      <c r="B515" s="347"/>
      <c r="C515" s="108"/>
      <c r="D515" s="108"/>
      <c r="E515" s="349"/>
    </row>
    <row r="516" spans="1:5" ht="15">
      <c r="A516" s="151"/>
      <c r="B516" s="347"/>
      <c r="C516" s="108"/>
      <c r="D516" s="108"/>
      <c r="E516" s="349"/>
    </row>
    <row r="517" spans="1:5" ht="15">
      <c r="A517" s="151"/>
      <c r="B517" s="347"/>
      <c r="C517" s="108"/>
      <c r="D517" s="108"/>
      <c r="E517" s="349"/>
    </row>
    <row r="518" spans="1:5" ht="15">
      <c r="A518" s="151"/>
      <c r="B518" s="347"/>
      <c r="C518" s="108"/>
      <c r="D518" s="108"/>
      <c r="E518" s="349"/>
    </row>
    <row r="519" spans="1:5" ht="15">
      <c r="A519" s="151"/>
      <c r="B519" s="347"/>
      <c r="C519" s="108"/>
      <c r="D519" s="108"/>
      <c r="E519" s="349"/>
    </row>
    <row r="520" spans="1:5" ht="15">
      <c r="A520" s="151"/>
      <c r="B520" s="347"/>
      <c r="C520" s="108"/>
      <c r="D520" s="108"/>
      <c r="E520" s="349"/>
    </row>
    <row r="521" spans="1:5" ht="15">
      <c r="A521" s="151"/>
      <c r="B521" s="347"/>
      <c r="C521" s="108"/>
      <c r="D521" s="108"/>
      <c r="E521" s="349"/>
    </row>
    <row r="522" spans="1:5" ht="15">
      <c r="A522" s="151"/>
      <c r="B522" s="347"/>
      <c r="C522" s="108"/>
      <c r="D522" s="108"/>
      <c r="E522" s="349"/>
    </row>
    <row r="523" spans="1:5" ht="15">
      <c r="A523" s="151"/>
      <c r="B523" s="347"/>
      <c r="C523" s="108"/>
      <c r="D523" s="108"/>
      <c r="E523" s="349"/>
    </row>
    <row r="524" spans="1:5" ht="15">
      <c r="A524" s="151"/>
      <c r="B524" s="347"/>
      <c r="C524" s="108"/>
      <c r="D524" s="108"/>
      <c r="E524" s="349"/>
    </row>
    <row r="525" spans="1:5" ht="15">
      <c r="A525" s="151"/>
      <c r="B525" s="347"/>
      <c r="C525" s="108"/>
      <c r="D525" s="108"/>
      <c r="E525" s="349"/>
    </row>
    <row r="526" spans="1:5" ht="15">
      <c r="A526" s="151"/>
      <c r="B526" s="347"/>
      <c r="C526" s="108"/>
      <c r="D526" s="108"/>
      <c r="E526" s="349"/>
    </row>
    <row r="527" spans="1:5" ht="15">
      <c r="A527" s="151"/>
      <c r="B527" s="347"/>
      <c r="C527" s="108"/>
      <c r="D527" s="108"/>
      <c r="E527" s="349"/>
    </row>
    <row r="528" spans="1:5" ht="15">
      <c r="A528" s="151"/>
      <c r="B528" s="347"/>
      <c r="C528" s="108"/>
      <c r="D528" s="108"/>
      <c r="E528" s="349"/>
    </row>
    <row r="529" spans="1:5" ht="15">
      <c r="A529" s="151"/>
      <c r="B529" s="347"/>
      <c r="C529" s="108"/>
      <c r="D529" s="108"/>
      <c r="E529" s="349"/>
    </row>
    <row r="530" spans="1:5" ht="15">
      <c r="A530" s="151"/>
      <c r="B530" s="347"/>
      <c r="C530" s="108"/>
      <c r="D530" s="108"/>
      <c r="E530" s="349"/>
    </row>
    <row r="531" spans="1:5" ht="15">
      <c r="A531" s="151"/>
      <c r="B531" s="347"/>
      <c r="C531" s="108"/>
      <c r="D531" s="108"/>
      <c r="E531" s="349"/>
    </row>
    <row r="532" spans="1:5" ht="15">
      <c r="A532" s="151"/>
      <c r="B532" s="347"/>
      <c r="C532" s="108"/>
      <c r="D532" s="108"/>
      <c r="E532" s="349"/>
    </row>
    <row r="533" spans="1:5" ht="15">
      <c r="A533" s="151"/>
      <c r="B533" s="347"/>
      <c r="C533" s="108"/>
      <c r="D533" s="108"/>
      <c r="E533" s="349"/>
    </row>
    <row r="534" spans="1:5" ht="15">
      <c r="A534" s="151"/>
      <c r="B534" s="347"/>
      <c r="C534" s="108"/>
      <c r="D534" s="108"/>
      <c r="E534" s="349"/>
    </row>
    <row r="535" spans="1:5" ht="15">
      <c r="A535" s="151"/>
      <c r="B535" s="347"/>
      <c r="C535" s="108"/>
      <c r="D535" s="108"/>
      <c r="E535" s="349"/>
    </row>
    <row r="536" spans="1:5" ht="15">
      <c r="A536" s="151"/>
      <c r="B536" s="347"/>
      <c r="C536" s="108"/>
      <c r="D536" s="108"/>
      <c r="E536" s="349"/>
    </row>
    <row r="537" spans="1:5" ht="15">
      <c r="A537" s="151"/>
      <c r="B537" s="347"/>
      <c r="C537" s="108"/>
      <c r="D537" s="108"/>
      <c r="E537" s="349"/>
    </row>
    <row r="538" spans="1:5" ht="15">
      <c r="A538" s="151"/>
      <c r="B538" s="347"/>
      <c r="C538" s="108"/>
      <c r="D538" s="108"/>
      <c r="E538" s="349"/>
    </row>
    <row r="539" spans="1:5" ht="15">
      <c r="A539" s="151"/>
      <c r="B539" s="347"/>
      <c r="C539" s="108"/>
      <c r="D539" s="108"/>
      <c r="E539" s="349"/>
    </row>
    <row r="540" spans="1:5" ht="15">
      <c r="A540" s="151"/>
      <c r="B540" s="347"/>
      <c r="C540" s="108"/>
      <c r="D540" s="108"/>
      <c r="E540" s="349"/>
    </row>
    <row r="541" spans="1:5" ht="15">
      <c r="A541" s="151"/>
      <c r="B541" s="347"/>
      <c r="C541" s="108"/>
      <c r="D541" s="108"/>
      <c r="E541" s="349"/>
    </row>
    <row r="542" spans="1:5" ht="15">
      <c r="A542" s="151"/>
      <c r="B542" s="347"/>
      <c r="C542" s="108"/>
      <c r="D542" s="108"/>
      <c r="E542" s="349"/>
    </row>
    <row r="543" spans="1:5" ht="15">
      <c r="A543" s="151"/>
      <c r="B543" s="347"/>
      <c r="C543" s="108"/>
      <c r="D543" s="108"/>
      <c r="E543" s="349"/>
    </row>
    <row r="544" spans="1:5" ht="15">
      <c r="A544" s="151"/>
      <c r="B544" s="347"/>
      <c r="C544" s="108"/>
      <c r="D544" s="108"/>
      <c r="E544" s="349"/>
    </row>
    <row r="545" spans="1:5" ht="15">
      <c r="A545" s="151"/>
      <c r="B545" s="347"/>
      <c r="C545" s="108"/>
      <c r="D545" s="108"/>
      <c r="E545" s="349"/>
    </row>
    <row r="546" spans="1:5" ht="15">
      <c r="A546" s="151"/>
      <c r="B546" s="347"/>
      <c r="C546" s="108"/>
      <c r="D546" s="108"/>
      <c r="E546" s="349"/>
    </row>
    <row r="547" spans="1:5" ht="15">
      <c r="A547" s="151"/>
      <c r="B547" s="347"/>
      <c r="C547" s="108"/>
      <c r="D547" s="108"/>
      <c r="E547" s="349"/>
    </row>
    <row r="548" spans="1:5" ht="15">
      <c r="A548" s="151"/>
      <c r="B548" s="347"/>
      <c r="C548" s="108"/>
      <c r="D548" s="108"/>
      <c r="E548" s="349"/>
    </row>
    <row r="549" spans="1:5" ht="15">
      <c r="A549" s="151"/>
      <c r="B549" s="347"/>
      <c r="C549" s="108"/>
      <c r="D549" s="108"/>
      <c r="E549" s="349"/>
    </row>
    <row r="550" spans="1:5" ht="15">
      <c r="A550" s="151"/>
      <c r="B550" s="347"/>
      <c r="C550" s="108"/>
      <c r="D550" s="108"/>
      <c r="E550" s="349"/>
    </row>
    <row r="551" spans="1:5" ht="15">
      <c r="A551" s="151"/>
      <c r="B551" s="347"/>
      <c r="C551" s="108"/>
      <c r="D551" s="108"/>
      <c r="E551" s="349"/>
    </row>
    <row r="552" spans="1:5" ht="15">
      <c r="A552" s="151"/>
      <c r="B552" s="347"/>
      <c r="C552" s="108"/>
      <c r="D552" s="108"/>
      <c r="E552" s="349"/>
    </row>
    <row r="553" spans="1:5" ht="15">
      <c r="A553" s="151"/>
      <c r="B553" s="347"/>
      <c r="C553" s="108"/>
      <c r="D553" s="108"/>
      <c r="E553" s="349"/>
    </row>
    <row r="554" spans="1:5" ht="15">
      <c r="A554" s="151"/>
      <c r="B554" s="347"/>
      <c r="C554" s="108"/>
      <c r="D554" s="108"/>
      <c r="E554" s="349"/>
    </row>
    <row r="555" spans="1:5" ht="15">
      <c r="A555" s="151"/>
      <c r="B555" s="347"/>
      <c r="C555" s="108"/>
      <c r="D555" s="108"/>
      <c r="E555" s="349"/>
    </row>
    <row r="556" spans="1:5" ht="15">
      <c r="A556" s="151"/>
      <c r="B556" s="347"/>
      <c r="C556" s="108"/>
      <c r="D556" s="108"/>
      <c r="E556" s="349"/>
    </row>
    <row r="557" spans="1:5" ht="15">
      <c r="A557" s="151"/>
      <c r="B557" s="347"/>
      <c r="C557" s="108"/>
      <c r="D557" s="108"/>
      <c r="E557" s="349"/>
    </row>
    <row r="558" spans="1:5" ht="15">
      <c r="A558" s="151"/>
      <c r="B558" s="347"/>
      <c r="C558" s="108"/>
      <c r="D558" s="108"/>
      <c r="E558" s="349"/>
    </row>
    <row r="559" spans="1:5" ht="15">
      <c r="A559" s="151"/>
      <c r="B559" s="347"/>
      <c r="C559" s="108"/>
      <c r="D559" s="108"/>
      <c r="E559" s="349"/>
    </row>
    <row r="560" spans="1:5" ht="15">
      <c r="A560" s="151"/>
      <c r="B560" s="347"/>
      <c r="C560" s="108"/>
      <c r="D560" s="108"/>
      <c r="E560" s="349"/>
    </row>
    <row r="561" spans="1:5" ht="15">
      <c r="A561" s="151"/>
      <c r="B561" s="347"/>
      <c r="C561" s="108"/>
      <c r="D561" s="108"/>
      <c r="E561" s="349"/>
    </row>
    <row r="562" spans="1:5" ht="15">
      <c r="A562" s="151"/>
      <c r="B562" s="347"/>
      <c r="C562" s="108"/>
      <c r="D562" s="108"/>
      <c r="E562" s="349"/>
    </row>
    <row r="563" spans="1:5" ht="15">
      <c r="A563" s="151"/>
      <c r="B563" s="347"/>
      <c r="C563" s="108"/>
      <c r="D563" s="108"/>
      <c r="E563" s="349"/>
    </row>
    <row r="564" spans="1:5" ht="15">
      <c r="A564" s="151"/>
      <c r="B564" s="347"/>
      <c r="C564" s="108"/>
      <c r="D564" s="108"/>
      <c r="E564" s="349"/>
    </row>
    <row r="565" spans="1:5" ht="15">
      <c r="A565" s="151"/>
      <c r="B565" s="347"/>
      <c r="C565" s="108"/>
      <c r="D565" s="108"/>
      <c r="E565" s="349"/>
    </row>
    <row r="566" spans="1:5" ht="15">
      <c r="A566" s="151"/>
      <c r="B566" s="347"/>
      <c r="C566" s="108"/>
      <c r="D566" s="108"/>
      <c r="E566" s="349"/>
    </row>
    <row r="567" spans="1:5" ht="15">
      <c r="A567" s="151"/>
      <c r="B567" s="347"/>
      <c r="C567" s="108"/>
      <c r="D567" s="108"/>
      <c r="E567" s="349"/>
    </row>
    <row r="568" spans="1:5" ht="15">
      <c r="A568" s="151"/>
      <c r="B568" s="347"/>
      <c r="C568" s="108"/>
      <c r="D568" s="108"/>
      <c r="E568" s="349"/>
    </row>
    <row r="569" spans="1:5" ht="15">
      <c r="A569" s="151"/>
      <c r="B569" s="347"/>
      <c r="C569" s="108"/>
      <c r="D569" s="108"/>
      <c r="E569" s="349"/>
    </row>
    <row r="570" spans="1:5" ht="15">
      <c r="A570" s="151"/>
      <c r="B570" s="347"/>
      <c r="C570" s="108"/>
      <c r="D570" s="108"/>
      <c r="E570" s="349"/>
    </row>
    <row r="571" spans="1:5" ht="15">
      <c r="A571" s="151"/>
      <c r="B571" s="347"/>
      <c r="C571" s="108"/>
      <c r="D571" s="108"/>
      <c r="E571" s="349"/>
    </row>
    <row r="572" spans="1:5" ht="15">
      <c r="A572" s="151"/>
      <c r="B572" s="347"/>
      <c r="C572" s="108"/>
      <c r="D572" s="108"/>
      <c r="E572" s="349"/>
    </row>
    <row r="573" spans="1:5" ht="15">
      <c r="A573" s="151"/>
      <c r="B573" s="347"/>
      <c r="C573" s="108"/>
      <c r="D573" s="108"/>
      <c r="E573" s="349"/>
    </row>
    <row r="574" spans="1:5" ht="15">
      <c r="A574" s="151"/>
      <c r="B574" s="347"/>
      <c r="C574" s="108"/>
      <c r="D574" s="108"/>
      <c r="E574" s="349"/>
    </row>
    <row r="575" spans="1:5" ht="15">
      <c r="A575" s="151"/>
      <c r="B575" s="347"/>
      <c r="C575" s="108"/>
      <c r="D575" s="108"/>
      <c r="E575" s="349"/>
    </row>
    <row r="576" spans="1:5" ht="15">
      <c r="A576" s="151"/>
      <c r="B576" s="347"/>
      <c r="C576" s="108"/>
      <c r="D576" s="108"/>
      <c r="E576" s="349"/>
    </row>
    <row r="577" spans="1:5" ht="15">
      <c r="A577" s="151"/>
      <c r="B577" s="347"/>
      <c r="C577" s="108"/>
      <c r="D577" s="108"/>
      <c r="E577" s="349"/>
    </row>
    <row r="578" spans="1:5" ht="15">
      <c r="A578" s="151"/>
      <c r="B578" s="347"/>
      <c r="C578" s="108"/>
      <c r="D578" s="108"/>
      <c r="E578" s="349"/>
    </row>
    <row r="579" spans="1:5" ht="15">
      <c r="A579" s="151"/>
      <c r="B579" s="347"/>
      <c r="C579" s="108"/>
      <c r="D579" s="108"/>
      <c r="E579" s="349"/>
    </row>
    <row r="580" spans="1:5" ht="15">
      <c r="A580" s="151"/>
      <c r="B580" s="347"/>
      <c r="C580" s="108"/>
      <c r="D580" s="108"/>
      <c r="E580" s="349"/>
    </row>
    <row r="581" spans="1:5" ht="15">
      <c r="A581" s="151"/>
      <c r="B581" s="347"/>
      <c r="C581" s="108"/>
      <c r="D581" s="108"/>
      <c r="E581" s="349"/>
    </row>
    <row r="582" spans="1:5" ht="15">
      <c r="A582" s="151"/>
      <c r="B582" s="347"/>
      <c r="C582" s="108"/>
      <c r="D582" s="108"/>
      <c r="E582" s="349"/>
    </row>
    <row r="583" spans="1:5" ht="15">
      <c r="A583" s="151"/>
      <c r="B583" s="347"/>
      <c r="C583" s="108"/>
      <c r="D583" s="108"/>
      <c r="E583" s="349"/>
    </row>
    <row r="584" spans="1:5" ht="15">
      <c r="A584" s="151"/>
      <c r="B584" s="347"/>
      <c r="C584" s="108"/>
      <c r="D584" s="108"/>
      <c r="E584" s="349"/>
    </row>
    <row r="585" spans="1:5" ht="15">
      <c r="A585" s="151"/>
      <c r="B585" s="347"/>
      <c r="C585" s="108"/>
      <c r="D585" s="108"/>
      <c r="E585" s="349"/>
    </row>
    <row r="586" spans="1:5" ht="15">
      <c r="A586" s="151"/>
      <c r="B586" s="347"/>
      <c r="C586" s="108"/>
      <c r="D586" s="108"/>
      <c r="E586" s="349"/>
    </row>
    <row r="587" spans="1:5" ht="15">
      <c r="A587" s="151"/>
      <c r="B587" s="347"/>
      <c r="C587" s="108"/>
      <c r="D587" s="108"/>
      <c r="E587" s="349"/>
    </row>
    <row r="588" spans="1:5" ht="15">
      <c r="A588" s="151"/>
      <c r="B588" s="347"/>
      <c r="C588" s="108"/>
      <c r="D588" s="108"/>
      <c r="E588" s="349"/>
    </row>
    <row r="589" spans="1:5" ht="15">
      <c r="A589" s="151"/>
      <c r="B589" s="347"/>
      <c r="C589" s="108"/>
      <c r="D589" s="108"/>
      <c r="E589" s="349"/>
    </row>
    <row r="590" spans="1:5" ht="15">
      <c r="A590" s="151"/>
      <c r="B590" s="347"/>
      <c r="C590" s="108"/>
      <c r="D590" s="108"/>
      <c r="E590" s="349"/>
    </row>
    <row r="591" spans="1:5" ht="15">
      <c r="A591" s="151"/>
      <c r="B591" s="347"/>
      <c r="C591" s="108"/>
      <c r="D591" s="108"/>
      <c r="E591" s="349"/>
    </row>
    <row r="592" spans="1:5" ht="15">
      <c r="A592" s="151"/>
      <c r="B592" s="347"/>
      <c r="C592" s="108"/>
      <c r="D592" s="108"/>
      <c r="E592" s="349"/>
    </row>
    <row r="593" spans="1:5" ht="15">
      <c r="A593" s="151"/>
      <c r="B593" s="347"/>
      <c r="C593" s="108"/>
      <c r="D593" s="108"/>
      <c r="E593" s="349"/>
    </row>
    <row r="594" spans="1:5" ht="15">
      <c r="A594" s="151"/>
      <c r="B594" s="347"/>
      <c r="C594" s="108"/>
      <c r="D594" s="108"/>
      <c r="E594" s="349"/>
    </row>
    <row r="595" spans="1:5" ht="15">
      <c r="A595" s="151"/>
      <c r="B595" s="347"/>
      <c r="C595" s="108"/>
      <c r="D595" s="108"/>
      <c r="E595" s="349"/>
    </row>
    <row r="596" spans="1:5" ht="15">
      <c r="A596" s="151"/>
      <c r="B596" s="347"/>
      <c r="C596" s="108"/>
      <c r="D596" s="108"/>
      <c r="E596" s="349"/>
    </row>
    <row r="597" spans="1:5" ht="15">
      <c r="A597" s="151"/>
      <c r="B597" s="347"/>
      <c r="C597" s="108"/>
      <c r="D597" s="108"/>
      <c r="E597" s="349"/>
    </row>
    <row r="598" spans="1:5" ht="15">
      <c r="A598" s="151"/>
      <c r="B598" s="347"/>
      <c r="C598" s="108"/>
      <c r="D598" s="108"/>
      <c r="E598" s="349"/>
    </row>
    <row r="599" spans="1:5" ht="15">
      <c r="A599" s="151"/>
      <c r="B599" s="347"/>
      <c r="C599" s="108"/>
      <c r="D599" s="108"/>
      <c r="E599" s="349"/>
    </row>
    <row r="600" spans="1:5" ht="15">
      <c r="A600" s="151"/>
      <c r="B600" s="347"/>
      <c r="C600" s="108"/>
      <c r="D600" s="108"/>
      <c r="E600" s="349"/>
    </row>
    <row r="601" spans="1:5" ht="15">
      <c r="A601" s="151"/>
      <c r="B601" s="347"/>
      <c r="C601" s="108"/>
      <c r="D601" s="108"/>
      <c r="E601" s="349"/>
    </row>
    <row r="602" spans="1:5" ht="15">
      <c r="A602" s="151"/>
      <c r="B602" s="347"/>
      <c r="C602" s="108"/>
      <c r="D602" s="108"/>
      <c r="E602" s="349"/>
    </row>
    <row r="603" spans="1:5" ht="15">
      <c r="A603" s="151"/>
      <c r="B603" s="347"/>
      <c r="C603" s="108"/>
      <c r="D603" s="108"/>
      <c r="E603" s="349"/>
    </row>
    <row r="604" spans="1:5" ht="15">
      <c r="A604" s="151"/>
      <c r="B604" s="347"/>
      <c r="C604" s="108"/>
      <c r="D604" s="108"/>
      <c r="E604" s="349"/>
    </row>
    <row r="605" spans="1:5" ht="15">
      <c r="A605" s="151"/>
      <c r="B605" s="347"/>
      <c r="C605" s="108"/>
      <c r="D605" s="108"/>
      <c r="E605" s="349"/>
    </row>
    <row r="606" spans="1:5" ht="15">
      <c r="A606" s="151"/>
      <c r="B606" s="347"/>
      <c r="C606" s="108"/>
      <c r="D606" s="108"/>
      <c r="E606" s="349"/>
    </row>
    <row r="607" spans="1:5" ht="15">
      <c r="A607" s="151"/>
      <c r="B607" s="347"/>
      <c r="C607" s="108"/>
      <c r="D607" s="108"/>
      <c r="E607" s="349"/>
    </row>
    <row r="608" spans="1:5" ht="15">
      <c r="A608" s="151"/>
      <c r="B608" s="347"/>
      <c r="C608" s="108"/>
      <c r="D608" s="108"/>
      <c r="E608" s="349"/>
    </row>
    <row r="609" spans="1:5" ht="15">
      <c r="A609" s="151"/>
      <c r="B609" s="347"/>
      <c r="C609" s="108"/>
      <c r="D609" s="108"/>
      <c r="E609" s="349"/>
    </row>
    <row r="610" spans="1:5" ht="15">
      <c r="A610" s="151"/>
      <c r="B610" s="347"/>
      <c r="C610" s="108"/>
      <c r="D610" s="108"/>
      <c r="E610" s="349"/>
    </row>
    <row r="611" spans="1:5" ht="15">
      <c r="A611" s="151"/>
      <c r="B611" s="347"/>
      <c r="C611" s="108"/>
      <c r="D611" s="108"/>
      <c r="E611" s="349"/>
    </row>
    <row r="612" spans="1:5" ht="15">
      <c r="A612" s="151"/>
      <c r="B612" s="347"/>
      <c r="C612" s="108"/>
      <c r="D612" s="108"/>
      <c r="E612" s="349"/>
    </row>
    <row r="613" spans="1:5" ht="15">
      <c r="A613" s="151"/>
      <c r="B613" s="347"/>
      <c r="C613" s="108"/>
      <c r="D613" s="108"/>
      <c r="E613" s="349"/>
    </row>
    <row r="614" spans="1:5" ht="15">
      <c r="A614" s="151"/>
      <c r="B614" s="347"/>
      <c r="C614" s="108"/>
      <c r="D614" s="108"/>
      <c r="E614" s="349"/>
    </row>
    <row r="615" spans="1:5" ht="15">
      <c r="A615" s="151"/>
      <c r="B615" s="347"/>
      <c r="C615" s="108"/>
      <c r="D615" s="108"/>
      <c r="E615" s="349"/>
    </row>
    <row r="616" spans="1:5" ht="15">
      <c r="A616" s="151"/>
      <c r="B616" s="347"/>
      <c r="C616" s="108"/>
      <c r="D616" s="108"/>
      <c r="E616" s="349"/>
    </row>
    <row r="617" spans="1:5" ht="15">
      <c r="A617" s="151"/>
      <c r="B617" s="347"/>
      <c r="C617" s="108"/>
      <c r="D617" s="108"/>
      <c r="E617" s="349"/>
    </row>
    <row r="618" spans="1:5" ht="15">
      <c r="A618" s="151"/>
      <c r="B618" s="347"/>
      <c r="C618" s="108"/>
      <c r="D618" s="108"/>
      <c r="E618" s="349"/>
    </row>
    <row r="619" spans="1:5" ht="15">
      <c r="A619" s="151"/>
      <c r="B619" s="347"/>
      <c r="C619" s="108"/>
      <c r="D619" s="108"/>
      <c r="E619" s="349"/>
    </row>
    <row r="620" spans="1:5" ht="15">
      <c r="A620" s="151"/>
      <c r="B620" s="347"/>
      <c r="C620" s="108"/>
      <c r="D620" s="108"/>
      <c r="E620" s="349"/>
    </row>
    <row r="621" spans="1:5" ht="15">
      <c r="A621" s="151"/>
      <c r="B621" s="347"/>
      <c r="C621" s="108"/>
      <c r="D621" s="108"/>
      <c r="E621" s="349"/>
    </row>
    <row r="622" spans="1:5" ht="15">
      <c r="A622" s="151"/>
      <c r="B622" s="347"/>
      <c r="C622" s="108"/>
      <c r="D622" s="108"/>
      <c r="E622" s="349"/>
    </row>
    <row r="623" spans="1:5" ht="15">
      <c r="A623" s="151"/>
      <c r="B623" s="347"/>
      <c r="C623" s="108"/>
      <c r="D623" s="108"/>
      <c r="E623" s="349"/>
    </row>
    <row r="624" spans="1:5" ht="15">
      <c r="A624" s="151"/>
      <c r="B624" s="347"/>
      <c r="C624" s="108"/>
      <c r="D624" s="108"/>
      <c r="E624" s="349"/>
    </row>
    <row r="625" spans="1:5" ht="15">
      <c r="A625" s="151"/>
      <c r="B625" s="347"/>
      <c r="C625" s="108"/>
      <c r="D625" s="108"/>
      <c r="E625" s="349"/>
    </row>
    <row r="626" spans="1:5" ht="15">
      <c r="A626" s="151"/>
      <c r="B626" s="347"/>
      <c r="C626" s="108"/>
      <c r="D626" s="108"/>
      <c r="E626" s="349"/>
    </row>
    <row r="627" spans="1:5" ht="15">
      <c r="A627" s="151"/>
      <c r="B627" s="347"/>
      <c r="C627" s="108"/>
      <c r="D627" s="108"/>
      <c r="E627" s="349"/>
    </row>
    <row r="628" spans="1:5" ht="15">
      <c r="A628" s="151"/>
      <c r="B628" s="347"/>
      <c r="C628" s="108"/>
      <c r="D628" s="108"/>
      <c r="E628" s="349"/>
    </row>
    <row r="629" spans="1:5" ht="15">
      <c r="A629" s="151"/>
      <c r="B629" s="347"/>
      <c r="C629" s="108"/>
      <c r="D629" s="108"/>
      <c r="E629" s="349"/>
    </row>
    <row r="630" spans="1:5" ht="15">
      <c r="A630" s="151"/>
      <c r="B630" s="347"/>
      <c r="C630" s="108"/>
      <c r="D630" s="108"/>
      <c r="E630" s="349"/>
    </row>
    <row r="631" spans="1:5" ht="15">
      <c r="A631" s="151"/>
      <c r="B631" s="347"/>
      <c r="C631" s="108"/>
      <c r="D631" s="108"/>
      <c r="E631" s="349"/>
    </row>
    <row r="632" spans="1:5" ht="15">
      <c r="A632" s="151"/>
      <c r="B632" s="347"/>
      <c r="C632" s="108"/>
      <c r="D632" s="108"/>
      <c r="E632" s="349"/>
    </row>
    <row r="633" spans="1:5" ht="15">
      <c r="A633" s="151"/>
      <c r="B633" s="347"/>
      <c r="C633" s="108"/>
      <c r="D633" s="108"/>
      <c r="E633" s="349"/>
    </row>
    <row r="634" spans="1:5" ht="15">
      <c r="A634" s="151"/>
      <c r="B634" s="347"/>
      <c r="C634" s="108"/>
      <c r="D634" s="108"/>
      <c r="E634" s="349"/>
    </row>
    <row r="635" spans="1:5" ht="15">
      <c r="A635" s="151"/>
      <c r="B635" s="347"/>
      <c r="C635" s="108"/>
      <c r="D635" s="108"/>
      <c r="E635" s="349"/>
    </row>
    <row r="636" spans="1:5" ht="15">
      <c r="A636" s="151"/>
      <c r="B636" s="347"/>
      <c r="C636" s="108"/>
      <c r="D636" s="108"/>
      <c r="E636" s="349"/>
    </row>
    <row r="637" spans="1:5" ht="15">
      <c r="A637" s="151"/>
      <c r="B637" s="347"/>
      <c r="C637" s="108"/>
      <c r="D637" s="108"/>
      <c r="E637" s="349"/>
    </row>
    <row r="638" spans="1:5" ht="15">
      <c r="A638" s="151"/>
      <c r="B638" s="347"/>
      <c r="C638" s="108"/>
      <c r="D638" s="108"/>
      <c r="E638" s="349"/>
    </row>
    <row r="639" spans="1:5" ht="15">
      <c r="A639" s="151"/>
      <c r="B639" s="347"/>
      <c r="C639" s="108"/>
      <c r="D639" s="108"/>
      <c r="E639" s="349"/>
    </row>
    <row r="640" spans="1:5" ht="15">
      <c r="A640" s="151"/>
      <c r="B640" s="347"/>
      <c r="C640" s="108"/>
      <c r="D640" s="108"/>
      <c r="E640" s="349"/>
    </row>
    <row r="641" spans="1:5" ht="15">
      <c r="A641" s="151"/>
      <c r="B641" s="347"/>
      <c r="C641" s="108"/>
      <c r="D641" s="108"/>
      <c r="E641" s="349"/>
    </row>
    <row r="642" spans="1:5" ht="15">
      <c r="A642" s="151"/>
      <c r="B642" s="347"/>
      <c r="C642" s="108"/>
      <c r="D642" s="108"/>
      <c r="E642" s="349"/>
    </row>
    <row r="643" spans="1:5" ht="15">
      <c r="A643" s="151"/>
      <c r="B643" s="347"/>
      <c r="C643" s="108"/>
      <c r="D643" s="108"/>
      <c r="E643" s="349"/>
    </row>
    <row r="644" spans="1:5" ht="15">
      <c r="A644" s="151"/>
      <c r="B644" s="347"/>
      <c r="C644" s="108"/>
      <c r="D644" s="108"/>
      <c r="E644" s="349"/>
    </row>
    <row r="645" spans="1:5" ht="15">
      <c r="A645" s="151"/>
      <c r="B645" s="347"/>
      <c r="C645" s="108"/>
      <c r="D645" s="108"/>
      <c r="E645" s="349"/>
    </row>
    <row r="646" spans="1:5" ht="15">
      <c r="A646" s="151"/>
      <c r="B646" s="347"/>
      <c r="C646" s="108"/>
      <c r="D646" s="108"/>
      <c r="E646" s="349"/>
    </row>
    <row r="647" spans="1:5" ht="15">
      <c r="A647" s="151"/>
      <c r="B647" s="347"/>
      <c r="C647" s="108"/>
      <c r="D647" s="108"/>
      <c r="E647" s="349"/>
    </row>
    <row r="648" spans="1:5" ht="15">
      <c r="A648" s="151"/>
      <c r="B648" s="347"/>
      <c r="C648" s="108"/>
      <c r="D648" s="108"/>
      <c r="E648" s="349"/>
    </row>
    <row r="649" spans="1:5" ht="15">
      <c r="A649" s="151"/>
      <c r="B649" s="347"/>
      <c r="C649" s="108"/>
      <c r="D649" s="108"/>
      <c r="E649" s="349"/>
    </row>
    <row r="650" spans="1:5" ht="15">
      <c r="A650" s="151"/>
      <c r="B650" s="347"/>
      <c r="C650" s="108"/>
      <c r="D650" s="108"/>
      <c r="E650" s="349"/>
    </row>
    <row r="651" spans="1:5" ht="15">
      <c r="A651" s="151"/>
      <c r="B651" s="347"/>
      <c r="C651" s="108"/>
      <c r="D651" s="108"/>
      <c r="E651" s="349"/>
    </row>
    <row r="652" spans="1:5" ht="15">
      <c r="A652" s="151"/>
      <c r="B652" s="347"/>
      <c r="C652" s="108"/>
      <c r="D652" s="108"/>
      <c r="E652" s="349"/>
    </row>
    <row r="653" spans="1:5" ht="15">
      <c r="A653" s="151"/>
      <c r="B653" s="347"/>
      <c r="C653" s="108"/>
      <c r="D653" s="108"/>
      <c r="E653" s="349"/>
    </row>
    <row r="654" spans="1:5" ht="15">
      <c r="A654" s="151"/>
      <c r="B654" s="347"/>
      <c r="C654" s="108"/>
      <c r="D654" s="108"/>
      <c r="E654" s="349"/>
    </row>
    <row r="655" spans="1:5" ht="15">
      <c r="A655" s="151"/>
      <c r="B655" s="347"/>
      <c r="C655" s="108"/>
      <c r="D655" s="108"/>
      <c r="E655" s="349"/>
    </row>
    <row r="656" spans="1:5" ht="15">
      <c r="A656" s="151"/>
      <c r="B656" s="347"/>
      <c r="C656" s="108"/>
      <c r="D656" s="108"/>
      <c r="E656" s="349"/>
    </row>
    <row r="657" spans="1:5" ht="15">
      <c r="A657" s="151"/>
      <c r="B657" s="347"/>
      <c r="C657" s="108"/>
      <c r="D657" s="108"/>
      <c r="E657" s="349"/>
    </row>
    <row r="658" spans="1:5" ht="15">
      <c r="A658" s="151"/>
      <c r="B658" s="347"/>
      <c r="C658" s="108"/>
      <c r="D658" s="108"/>
      <c r="E658" s="349"/>
    </row>
    <row r="659" spans="1:5" ht="15">
      <c r="A659" s="151"/>
      <c r="B659" s="347"/>
      <c r="C659" s="108"/>
      <c r="D659" s="108"/>
      <c r="E659" s="349"/>
    </row>
    <row r="660" spans="1:5" ht="15">
      <c r="A660" s="151"/>
      <c r="B660" s="347"/>
      <c r="C660" s="108"/>
      <c r="D660" s="108"/>
      <c r="E660" s="349"/>
    </row>
    <row r="661" spans="1:5" ht="15">
      <c r="A661" s="151"/>
      <c r="B661" s="347"/>
      <c r="C661" s="108"/>
      <c r="D661" s="108"/>
      <c r="E661" s="349"/>
    </row>
    <row r="662" spans="1:5" ht="15">
      <c r="A662" s="151"/>
      <c r="B662" s="347"/>
      <c r="C662" s="108"/>
      <c r="D662" s="108"/>
      <c r="E662" s="349"/>
    </row>
    <row r="663" spans="1:5" ht="15">
      <c r="A663" s="151"/>
      <c r="B663" s="347"/>
      <c r="C663" s="108"/>
      <c r="D663" s="108"/>
      <c r="E663" s="349"/>
    </row>
    <row r="664" spans="1:5" ht="15">
      <c r="A664" s="151"/>
      <c r="B664" s="347"/>
      <c r="C664" s="108"/>
      <c r="D664" s="108"/>
      <c r="E664" s="349"/>
    </row>
    <row r="665" spans="1:5" ht="15">
      <c r="A665" s="151"/>
      <c r="B665" s="347"/>
      <c r="C665" s="108"/>
      <c r="D665" s="108"/>
      <c r="E665" s="349"/>
    </row>
    <row r="666" spans="1:5" ht="15">
      <c r="A666" s="151"/>
      <c r="B666" s="347"/>
      <c r="C666" s="108"/>
      <c r="D666" s="108"/>
      <c r="E666" s="349"/>
    </row>
    <row r="667" spans="1:5" ht="15">
      <c r="A667" s="151"/>
      <c r="B667" s="347"/>
      <c r="C667" s="108"/>
      <c r="D667" s="108"/>
      <c r="E667" s="349"/>
    </row>
    <row r="668" spans="1:5" ht="15">
      <c r="A668" s="151"/>
      <c r="B668" s="347"/>
      <c r="C668" s="108"/>
      <c r="D668" s="108"/>
      <c r="E668" s="349"/>
    </row>
    <row r="669" spans="1:5" ht="15">
      <c r="A669" s="151"/>
      <c r="B669" s="347"/>
      <c r="C669" s="108"/>
      <c r="D669" s="108"/>
      <c r="E669" s="349"/>
    </row>
    <row r="670" spans="1:5" ht="15">
      <c r="A670" s="151"/>
      <c r="B670" s="347"/>
      <c r="C670" s="108"/>
      <c r="D670" s="108"/>
      <c r="E670" s="349"/>
    </row>
    <row r="671" spans="1:5" ht="15">
      <c r="A671" s="151"/>
      <c r="B671" s="347"/>
      <c r="C671" s="108"/>
      <c r="D671" s="108"/>
      <c r="E671" s="349"/>
    </row>
    <row r="672" spans="1:5" ht="15">
      <c r="A672" s="151"/>
      <c r="B672" s="347"/>
      <c r="C672" s="108"/>
      <c r="D672" s="108"/>
      <c r="E672" s="349"/>
    </row>
    <row r="673" spans="1:5" ht="15">
      <c r="A673" s="151"/>
      <c r="B673" s="347"/>
      <c r="C673" s="108"/>
      <c r="D673" s="108"/>
      <c r="E673" s="349"/>
    </row>
    <row r="674" spans="1:5" ht="15">
      <c r="A674" s="151"/>
      <c r="B674" s="347"/>
      <c r="C674" s="108"/>
      <c r="D674" s="108"/>
      <c r="E674" s="349"/>
    </row>
    <row r="675" spans="1:5" ht="15">
      <c r="A675" s="151"/>
      <c r="B675" s="347"/>
      <c r="C675" s="108"/>
      <c r="D675" s="108"/>
      <c r="E675" s="349"/>
    </row>
    <row r="676" spans="1:5" ht="15">
      <c r="A676" s="151"/>
      <c r="B676" s="347"/>
      <c r="C676" s="108"/>
      <c r="D676" s="108"/>
      <c r="E676" s="349"/>
    </row>
    <row r="677" spans="1:5" ht="15">
      <c r="A677" s="151"/>
      <c r="B677" s="347"/>
      <c r="C677" s="108"/>
      <c r="D677" s="108"/>
      <c r="E677" s="349"/>
    </row>
    <row r="678" spans="1:5" ht="15">
      <c r="A678" s="151"/>
      <c r="B678" s="347"/>
      <c r="C678" s="108"/>
      <c r="D678" s="108"/>
      <c r="E678" s="349"/>
    </row>
    <row r="679" spans="1:5" ht="15">
      <c r="A679" s="151"/>
      <c r="B679" s="347"/>
      <c r="C679" s="108"/>
      <c r="D679" s="108"/>
      <c r="E679" s="349"/>
    </row>
    <row r="680" spans="1:5" ht="15">
      <c r="A680" s="151"/>
      <c r="B680" s="347"/>
      <c r="C680" s="108"/>
      <c r="D680" s="108"/>
      <c r="E680" s="349"/>
    </row>
    <row r="681" spans="1:5" ht="15">
      <c r="A681" s="151"/>
      <c r="B681" s="347"/>
      <c r="C681" s="108"/>
      <c r="D681" s="108"/>
      <c r="E681" s="349"/>
    </row>
    <row r="682" spans="1:5" ht="15">
      <c r="A682" s="151"/>
      <c r="B682" s="347"/>
      <c r="C682" s="108"/>
      <c r="D682" s="108"/>
      <c r="E682" s="349"/>
    </row>
    <row r="683" spans="1:5" ht="15">
      <c r="A683" s="151"/>
      <c r="B683" s="347"/>
      <c r="C683" s="108"/>
      <c r="D683" s="108"/>
      <c r="E683" s="349"/>
    </row>
    <row r="684" spans="1:5" ht="15">
      <c r="A684" s="151"/>
      <c r="B684" s="347"/>
      <c r="C684" s="108"/>
      <c r="D684" s="108"/>
      <c r="E684" s="349"/>
    </row>
    <row r="685" spans="1:5" ht="15">
      <c r="A685" s="151"/>
      <c r="B685" s="347"/>
      <c r="C685" s="108"/>
      <c r="D685" s="108"/>
      <c r="E685" s="349"/>
    </row>
    <row r="686" spans="1:5" ht="15">
      <c r="A686" s="151"/>
      <c r="B686" s="347"/>
      <c r="C686" s="108"/>
      <c r="D686" s="108"/>
      <c r="E686" s="349"/>
    </row>
    <row r="687" spans="1:5" ht="15">
      <c r="A687" s="151"/>
      <c r="B687" s="347"/>
      <c r="C687" s="108"/>
      <c r="D687" s="108"/>
      <c r="E687" s="349"/>
    </row>
    <row r="688" spans="1:5" ht="15">
      <c r="A688" s="151"/>
      <c r="B688" s="347"/>
      <c r="C688" s="108"/>
      <c r="D688" s="108"/>
      <c r="E688" s="349"/>
    </row>
    <row r="689" spans="1:5" ht="15">
      <c r="A689" s="151"/>
      <c r="B689" s="347"/>
      <c r="C689" s="108"/>
      <c r="D689" s="108"/>
      <c r="E689" s="349"/>
    </row>
    <row r="690" spans="1:5" ht="15">
      <c r="A690" s="151"/>
      <c r="B690" s="347"/>
      <c r="C690" s="108"/>
      <c r="D690" s="108"/>
      <c r="E690" s="349"/>
    </row>
    <row r="691" spans="1:5" ht="15">
      <c r="A691" s="151"/>
      <c r="B691" s="347"/>
      <c r="C691" s="108"/>
      <c r="D691" s="108"/>
      <c r="E691" s="349"/>
    </row>
    <row r="692" spans="1:5" ht="15">
      <c r="A692" s="151"/>
      <c r="B692" s="347"/>
      <c r="C692" s="108"/>
      <c r="D692" s="108"/>
      <c r="E692" s="349"/>
    </row>
    <row r="693" spans="1:5" ht="15">
      <c r="A693" s="151"/>
      <c r="B693" s="347"/>
      <c r="C693" s="108"/>
      <c r="D693" s="108"/>
      <c r="E693" s="349"/>
    </row>
    <row r="694" spans="1:5" ht="15">
      <c r="A694" s="151"/>
      <c r="B694" s="347"/>
      <c r="C694" s="108"/>
      <c r="D694" s="108"/>
      <c r="E694" s="349"/>
    </row>
    <row r="695" spans="1:5" ht="15">
      <c r="A695" s="151"/>
      <c r="B695" s="347"/>
      <c r="C695" s="108"/>
      <c r="D695" s="108"/>
      <c r="E695" s="349"/>
    </row>
    <row r="696" spans="1:5" ht="15">
      <c r="A696" s="151"/>
      <c r="B696" s="347"/>
      <c r="C696" s="108"/>
      <c r="D696" s="108"/>
      <c r="E696" s="349"/>
    </row>
    <row r="697" spans="1:5" ht="15">
      <c r="A697" s="151"/>
      <c r="B697" s="347"/>
      <c r="C697" s="108"/>
      <c r="D697" s="108"/>
      <c r="E697" s="349"/>
    </row>
    <row r="698" spans="1:5" ht="15">
      <c r="A698" s="151"/>
      <c r="B698" s="347"/>
      <c r="C698" s="108"/>
      <c r="D698" s="108"/>
      <c r="E698" s="349"/>
    </row>
    <row r="699" spans="1:5" ht="15">
      <c r="A699" s="151"/>
      <c r="B699" s="347"/>
      <c r="C699" s="108"/>
      <c r="D699" s="108"/>
      <c r="E699" s="349"/>
    </row>
    <row r="700" spans="1:5" ht="15">
      <c r="A700" s="151"/>
      <c r="B700" s="347"/>
      <c r="C700" s="108"/>
      <c r="D700" s="108"/>
      <c r="E700" s="349"/>
    </row>
    <row r="701" spans="1:5" ht="15">
      <c r="A701" s="151"/>
      <c r="B701" s="347"/>
      <c r="C701" s="108"/>
      <c r="D701" s="108"/>
      <c r="E701" s="349"/>
    </row>
    <row r="702" spans="1:5" ht="15">
      <c r="A702" s="151"/>
      <c r="B702" s="347"/>
      <c r="C702" s="108"/>
      <c r="D702" s="108"/>
      <c r="E702" s="349"/>
    </row>
    <row r="703" spans="1:5" ht="15">
      <c r="A703" s="151"/>
      <c r="B703" s="347"/>
      <c r="C703" s="108"/>
      <c r="D703" s="108"/>
      <c r="E703" s="349"/>
    </row>
    <row r="704" spans="1:5" ht="15">
      <c r="A704" s="151"/>
      <c r="B704" s="347"/>
      <c r="C704" s="108"/>
      <c r="D704" s="108"/>
      <c r="E704" s="349"/>
    </row>
    <row r="705" spans="1:5" ht="15">
      <c r="A705" s="151"/>
      <c r="B705" s="347"/>
      <c r="C705" s="108"/>
      <c r="D705" s="108"/>
      <c r="E705" s="349"/>
    </row>
    <row r="706" spans="1:5" ht="15">
      <c r="A706" s="151"/>
      <c r="B706" s="347"/>
      <c r="C706" s="108"/>
      <c r="D706" s="108"/>
      <c r="E706" s="349"/>
    </row>
    <row r="707" spans="1:5" ht="15">
      <c r="A707" s="151"/>
      <c r="B707" s="347"/>
      <c r="C707" s="108"/>
      <c r="D707" s="108"/>
      <c r="E707" s="349"/>
    </row>
    <row r="708" spans="1:5" ht="15">
      <c r="A708" s="151"/>
      <c r="B708" s="347"/>
      <c r="C708" s="108"/>
      <c r="D708" s="108"/>
      <c r="E708" s="349"/>
    </row>
    <row r="709" spans="1:5" ht="15">
      <c r="A709" s="151"/>
      <c r="B709" s="347"/>
      <c r="C709" s="108"/>
      <c r="D709" s="108"/>
      <c r="E709" s="349"/>
    </row>
    <row r="710" spans="1:5" ht="15">
      <c r="A710" s="151"/>
      <c r="B710" s="347"/>
      <c r="C710" s="108"/>
      <c r="D710" s="108"/>
      <c r="E710" s="349"/>
    </row>
    <row r="711" spans="1:5" ht="15">
      <c r="A711" s="151"/>
      <c r="B711" s="347"/>
      <c r="C711" s="108"/>
      <c r="D711" s="108"/>
      <c r="E711" s="349"/>
    </row>
    <row r="712" spans="1:5" ht="15">
      <c r="A712" s="151"/>
      <c r="B712" s="347"/>
      <c r="C712" s="108"/>
      <c r="D712" s="108"/>
      <c r="E712" s="349"/>
    </row>
    <row r="713" spans="1:5" ht="15">
      <c r="A713" s="151"/>
      <c r="B713" s="347"/>
      <c r="C713" s="108"/>
      <c r="D713" s="108"/>
      <c r="E713" s="349"/>
    </row>
    <row r="714" spans="1:5" ht="15">
      <c r="A714" s="151"/>
      <c r="B714" s="347"/>
      <c r="C714" s="108"/>
      <c r="D714" s="108"/>
      <c r="E714" s="349"/>
    </row>
    <row r="715" spans="1:5" ht="15">
      <c r="A715" s="151"/>
      <c r="B715" s="347"/>
      <c r="C715" s="108"/>
      <c r="D715" s="108"/>
      <c r="E715" s="349"/>
    </row>
    <row r="716" spans="1:5" ht="15">
      <c r="A716" s="151"/>
      <c r="B716" s="347"/>
      <c r="C716" s="108"/>
      <c r="D716" s="108"/>
      <c r="E716" s="349"/>
    </row>
    <row r="717" spans="1:5" ht="15">
      <c r="A717" s="151"/>
      <c r="B717" s="347"/>
      <c r="C717" s="108"/>
      <c r="D717" s="108"/>
      <c r="E717" s="349"/>
    </row>
    <row r="718" spans="1:5" ht="15">
      <c r="A718" s="151"/>
      <c r="B718" s="347"/>
      <c r="C718" s="108"/>
      <c r="D718" s="108"/>
      <c r="E718" s="349"/>
    </row>
    <row r="719" spans="1:5" ht="15">
      <c r="A719" s="151"/>
      <c r="B719" s="347"/>
      <c r="C719" s="108"/>
      <c r="D719" s="108"/>
      <c r="E719" s="349"/>
    </row>
    <row r="720" spans="1:5" ht="15">
      <c r="A720" s="151"/>
      <c r="B720" s="347"/>
      <c r="C720" s="108"/>
      <c r="D720" s="108"/>
      <c r="E720" s="349"/>
    </row>
    <row r="721" spans="1:5" ht="15">
      <c r="A721" s="151"/>
      <c r="B721" s="347"/>
      <c r="C721" s="108"/>
      <c r="D721" s="108"/>
      <c r="E721" s="349"/>
    </row>
    <row r="722" spans="1:5" ht="15">
      <c r="A722" s="151"/>
      <c r="B722" s="347"/>
      <c r="C722" s="108"/>
      <c r="D722" s="108"/>
      <c r="E722" s="349"/>
    </row>
    <row r="723" spans="1:5" ht="15">
      <c r="A723" s="151"/>
      <c r="B723" s="347"/>
      <c r="C723" s="108"/>
      <c r="D723" s="108"/>
      <c r="E723" s="349"/>
    </row>
    <row r="724" spans="1:5" ht="15">
      <c r="A724" s="151"/>
      <c r="B724" s="347"/>
      <c r="C724" s="108"/>
      <c r="D724" s="108"/>
      <c r="E724" s="349"/>
    </row>
    <row r="725" spans="1:5" ht="15">
      <c r="A725" s="151"/>
      <c r="B725" s="347"/>
      <c r="C725" s="108"/>
      <c r="D725" s="108"/>
      <c r="E725" s="349"/>
    </row>
    <row r="726" spans="1:5" ht="15">
      <c r="A726" s="151"/>
      <c r="B726" s="347"/>
      <c r="C726" s="108"/>
      <c r="D726" s="108"/>
      <c r="E726" s="349"/>
    </row>
    <row r="727" spans="1:5" ht="15">
      <c r="A727" s="151"/>
      <c r="B727" s="347"/>
      <c r="C727" s="108"/>
      <c r="D727" s="108"/>
      <c r="E727" s="349"/>
    </row>
    <row r="728" spans="1:5" ht="15">
      <c r="A728" s="151"/>
      <c r="B728" s="347"/>
      <c r="C728" s="108"/>
      <c r="D728" s="108"/>
      <c r="E728" s="349"/>
    </row>
    <row r="729" spans="1:5" ht="15">
      <c r="A729" s="151"/>
      <c r="B729" s="347"/>
      <c r="C729" s="108"/>
      <c r="D729" s="108"/>
      <c r="E729" s="349"/>
    </row>
    <row r="730" spans="1:5" ht="15">
      <c r="A730" s="151"/>
      <c r="B730" s="347"/>
      <c r="C730" s="108"/>
      <c r="D730" s="108"/>
      <c r="E730" s="349"/>
    </row>
    <row r="731" spans="1:5" ht="15">
      <c r="A731" s="151"/>
      <c r="B731" s="347"/>
      <c r="C731" s="108"/>
      <c r="D731" s="108"/>
      <c r="E731" s="349"/>
    </row>
    <row r="732" spans="1:5" ht="15">
      <c r="A732" s="151"/>
      <c r="B732" s="347"/>
      <c r="C732" s="108"/>
      <c r="D732" s="108"/>
      <c r="E732" s="349"/>
    </row>
    <row r="733" spans="1:5" ht="15">
      <c r="A733" s="151"/>
      <c r="B733" s="347"/>
      <c r="C733" s="108"/>
      <c r="D733" s="108"/>
      <c r="E733" s="349"/>
    </row>
    <row r="734" spans="1:5" ht="15">
      <c r="A734" s="151"/>
      <c r="B734" s="347"/>
      <c r="C734" s="108"/>
      <c r="D734" s="108"/>
      <c r="E734" s="349"/>
    </row>
    <row r="735" spans="1:5" ht="15">
      <c r="A735" s="151"/>
      <c r="B735" s="347"/>
      <c r="C735" s="108"/>
      <c r="D735" s="108"/>
      <c r="E735" s="349"/>
    </row>
    <row r="736" spans="1:5" ht="15">
      <c r="A736" s="151"/>
      <c r="B736" s="347"/>
      <c r="C736" s="108"/>
      <c r="D736" s="108"/>
      <c r="E736" s="349"/>
    </row>
    <row r="737" spans="1:5" ht="15">
      <c r="A737" s="151"/>
      <c r="B737" s="347"/>
      <c r="C737" s="108"/>
      <c r="D737" s="108"/>
      <c r="E737" s="349"/>
    </row>
    <row r="738" spans="1:5" ht="15">
      <c r="A738" s="151"/>
      <c r="B738" s="347"/>
      <c r="C738" s="108"/>
      <c r="D738" s="108"/>
      <c r="E738" s="349"/>
    </row>
    <row r="739" spans="1:5" ht="15">
      <c r="A739" s="151"/>
      <c r="B739" s="347"/>
      <c r="C739" s="108"/>
      <c r="D739" s="108"/>
      <c r="E739" s="349"/>
    </row>
    <row r="740" spans="1:5" ht="15">
      <c r="A740" s="151"/>
      <c r="B740" s="347"/>
      <c r="C740" s="108"/>
      <c r="D740" s="108"/>
      <c r="E740" s="349"/>
    </row>
    <row r="741" spans="1:5" ht="15">
      <c r="A741" s="151"/>
      <c r="B741" s="347"/>
      <c r="C741" s="108"/>
      <c r="D741" s="108"/>
      <c r="E741" s="349"/>
    </row>
    <row r="742" spans="1:5" ht="15">
      <c r="A742" s="151"/>
      <c r="B742" s="347"/>
      <c r="C742" s="108"/>
      <c r="D742" s="108"/>
      <c r="E742" s="349"/>
    </row>
    <row r="743" spans="1:5" ht="15">
      <c r="A743" s="151"/>
      <c r="B743" s="347"/>
      <c r="C743" s="108"/>
      <c r="D743" s="108"/>
      <c r="E743" s="349"/>
    </row>
    <row r="744" spans="1:5" ht="15">
      <c r="A744" s="151"/>
      <c r="B744" s="347"/>
      <c r="C744" s="108"/>
      <c r="D744" s="108"/>
      <c r="E744" s="349"/>
    </row>
    <row r="745" spans="1:5" ht="15">
      <c r="A745" s="151"/>
      <c r="B745" s="347"/>
      <c r="C745" s="108"/>
      <c r="D745" s="108"/>
      <c r="E745" s="349"/>
    </row>
    <row r="746" spans="1:5" ht="15">
      <c r="A746" s="151"/>
      <c r="B746" s="347"/>
      <c r="C746" s="108"/>
      <c r="D746" s="108"/>
      <c r="E746" s="349"/>
    </row>
    <row r="747" spans="1:5" ht="15">
      <c r="A747" s="151"/>
      <c r="B747" s="347"/>
      <c r="C747" s="108"/>
      <c r="D747" s="108"/>
      <c r="E747" s="349"/>
    </row>
    <row r="748" spans="1:5" ht="15">
      <c r="A748" s="151"/>
      <c r="B748" s="347"/>
      <c r="C748" s="108"/>
      <c r="D748" s="108"/>
      <c r="E748" s="349"/>
    </row>
    <row r="749" spans="1:5" ht="15">
      <c r="A749" s="151"/>
      <c r="B749" s="347"/>
      <c r="C749" s="108"/>
      <c r="D749" s="108"/>
      <c r="E749" s="349"/>
    </row>
    <row r="750" spans="1:5" ht="15">
      <c r="A750" s="151"/>
      <c r="B750" s="347"/>
      <c r="C750" s="108"/>
      <c r="D750" s="108"/>
      <c r="E750" s="349"/>
    </row>
    <row r="751" spans="1:5" ht="15">
      <c r="A751" s="151"/>
      <c r="B751" s="347"/>
      <c r="C751" s="108"/>
      <c r="D751" s="108"/>
      <c r="E751" s="349"/>
    </row>
    <row r="752" spans="1:5" ht="15">
      <c r="A752" s="151"/>
      <c r="B752" s="347"/>
      <c r="C752" s="108"/>
      <c r="D752" s="108"/>
      <c r="E752" s="349"/>
    </row>
    <row r="753" spans="1:5" ht="15">
      <c r="A753" s="151"/>
      <c r="B753" s="347"/>
      <c r="C753" s="108"/>
      <c r="D753" s="108"/>
      <c r="E753" s="349"/>
    </row>
    <row r="754" spans="1:5" ht="15">
      <c r="A754" s="151"/>
      <c r="B754" s="347"/>
      <c r="C754" s="108"/>
      <c r="D754" s="108"/>
      <c r="E754" s="349"/>
    </row>
    <row r="755" spans="1:5" ht="15">
      <c r="A755" s="151"/>
      <c r="B755" s="347"/>
      <c r="C755" s="108"/>
      <c r="D755" s="108"/>
      <c r="E755" s="349"/>
    </row>
    <row r="756" spans="1:5" ht="15">
      <c r="A756" s="151"/>
      <c r="B756" s="347"/>
      <c r="C756" s="108"/>
      <c r="D756" s="108"/>
      <c r="E756" s="349"/>
    </row>
    <row r="757" spans="1:5" ht="15">
      <c r="A757" s="151"/>
      <c r="B757" s="347"/>
      <c r="C757" s="108"/>
      <c r="D757" s="108"/>
      <c r="E757" s="349"/>
    </row>
    <row r="758" spans="1:5" ht="15">
      <c r="A758" s="151"/>
      <c r="B758" s="347"/>
      <c r="C758" s="108"/>
      <c r="D758" s="108"/>
      <c r="E758" s="349"/>
    </row>
    <row r="759" spans="1:5" ht="15">
      <c r="A759" s="151"/>
      <c r="B759" s="347"/>
      <c r="C759" s="108"/>
      <c r="D759" s="108"/>
      <c r="E759" s="349"/>
    </row>
    <row r="760" spans="1:5" ht="15">
      <c r="A760" s="151"/>
      <c r="B760" s="347"/>
      <c r="C760" s="108"/>
      <c r="D760" s="108"/>
      <c r="E760" s="349"/>
    </row>
    <row r="761" spans="1:5" ht="15">
      <c r="A761" s="151"/>
      <c r="B761" s="347"/>
      <c r="C761" s="108"/>
      <c r="D761" s="108"/>
      <c r="E761" s="349"/>
    </row>
    <row r="762" spans="1:5" ht="15">
      <c r="A762" s="151"/>
      <c r="B762" s="347"/>
      <c r="C762" s="108"/>
      <c r="D762" s="108"/>
      <c r="E762" s="349"/>
    </row>
    <row r="763" spans="1:5" ht="15">
      <c r="A763" s="151"/>
      <c r="B763" s="347"/>
      <c r="C763" s="108"/>
      <c r="D763" s="108"/>
      <c r="E763" s="349"/>
    </row>
    <row r="764" spans="1:5" ht="15">
      <c r="A764" s="151"/>
      <c r="B764" s="347"/>
      <c r="C764" s="108"/>
      <c r="D764" s="108"/>
      <c r="E764" s="349"/>
    </row>
    <row r="765" spans="1:5" ht="15">
      <c r="A765" s="151"/>
      <c r="B765" s="347"/>
      <c r="C765" s="108"/>
      <c r="D765" s="108"/>
      <c r="E765" s="349"/>
    </row>
    <row r="766" spans="1:5" ht="15">
      <c r="A766" s="151"/>
      <c r="B766" s="347"/>
      <c r="C766" s="108"/>
      <c r="D766" s="108"/>
      <c r="E766" s="349"/>
    </row>
    <row r="767" spans="1:5" ht="15">
      <c r="A767" s="151"/>
      <c r="B767" s="347"/>
      <c r="C767" s="108"/>
      <c r="D767" s="108"/>
      <c r="E767" s="349"/>
    </row>
    <row r="768" spans="1:5" ht="15">
      <c r="A768" s="151"/>
      <c r="B768" s="347"/>
      <c r="C768" s="108"/>
      <c r="D768" s="108"/>
      <c r="E768" s="349"/>
    </row>
    <row r="769" spans="1:5" ht="15">
      <c r="A769" s="151"/>
      <c r="B769" s="347"/>
      <c r="C769" s="108"/>
      <c r="D769" s="108"/>
      <c r="E769" s="349"/>
    </row>
    <row r="770" spans="1:5" ht="15">
      <c r="A770" s="151"/>
      <c r="B770" s="347"/>
      <c r="C770" s="108"/>
      <c r="D770" s="108"/>
      <c r="E770" s="349"/>
    </row>
    <row r="771" spans="1:5" ht="15">
      <c r="A771" s="151"/>
      <c r="B771" s="347"/>
      <c r="C771" s="108"/>
      <c r="D771" s="108"/>
      <c r="E771" s="349"/>
    </row>
    <row r="772" spans="1:5" ht="15">
      <c r="A772" s="151"/>
      <c r="B772" s="347"/>
      <c r="C772" s="108"/>
      <c r="D772" s="108"/>
      <c r="E772" s="349"/>
    </row>
    <row r="773" spans="1:5" ht="15">
      <c r="A773" s="151"/>
      <c r="B773" s="347"/>
      <c r="C773" s="108"/>
      <c r="D773" s="108"/>
      <c r="E773" s="349"/>
    </row>
    <row r="774" spans="1:5" ht="15">
      <c r="A774" s="151"/>
      <c r="B774" s="347"/>
      <c r="C774" s="108"/>
      <c r="D774" s="108"/>
      <c r="E774" s="349"/>
    </row>
    <row r="775" spans="1:5" ht="15">
      <c r="A775" s="151"/>
      <c r="B775" s="347"/>
      <c r="C775" s="108"/>
      <c r="D775" s="108"/>
      <c r="E775" s="349"/>
    </row>
    <row r="776" spans="1:5" ht="15">
      <c r="A776" s="151"/>
      <c r="B776" s="347"/>
      <c r="C776" s="108"/>
      <c r="D776" s="108"/>
      <c r="E776" s="349"/>
    </row>
    <row r="777" spans="1:5" ht="15">
      <c r="A777" s="151"/>
      <c r="B777" s="347"/>
      <c r="C777" s="108"/>
      <c r="D777" s="108"/>
      <c r="E777" s="349"/>
    </row>
    <row r="778" spans="1:5" ht="15">
      <c r="A778" s="151"/>
      <c r="B778" s="347"/>
      <c r="C778" s="108"/>
      <c r="D778" s="108"/>
      <c r="E778" s="349"/>
    </row>
    <row r="779" spans="1:5" ht="15">
      <c r="A779" s="151"/>
      <c r="B779" s="347"/>
      <c r="C779" s="108"/>
      <c r="D779" s="108"/>
      <c r="E779" s="349"/>
    </row>
    <row r="780" spans="1:5" ht="15">
      <c r="A780" s="151"/>
      <c r="B780" s="347"/>
      <c r="C780" s="108"/>
      <c r="D780" s="108"/>
      <c r="E780" s="349"/>
    </row>
    <row r="781" spans="1:5" ht="15">
      <c r="A781" s="151"/>
      <c r="B781" s="347"/>
      <c r="C781" s="108"/>
      <c r="D781" s="108"/>
      <c r="E781" s="349"/>
    </row>
    <row r="782" spans="1:5" ht="15">
      <c r="A782" s="151"/>
      <c r="B782" s="347"/>
      <c r="C782" s="108"/>
      <c r="D782" s="108"/>
      <c r="E782" s="349"/>
    </row>
    <row r="783" spans="1:5" ht="15">
      <c r="A783" s="151"/>
      <c r="B783" s="347"/>
      <c r="C783" s="108"/>
      <c r="D783" s="108"/>
      <c r="E783" s="349"/>
    </row>
    <row r="784" spans="1:5" ht="15">
      <c r="A784" s="151"/>
      <c r="B784" s="347"/>
      <c r="C784" s="108"/>
      <c r="D784" s="108"/>
      <c r="E784" s="349"/>
    </row>
    <row r="785" spans="1:5" ht="15">
      <c r="A785" s="151"/>
      <c r="B785" s="347"/>
      <c r="C785" s="108"/>
      <c r="D785" s="108"/>
      <c r="E785" s="349"/>
    </row>
    <row r="786" spans="1:5" ht="15">
      <c r="A786" s="151"/>
      <c r="B786" s="347"/>
      <c r="C786" s="108"/>
      <c r="D786" s="108"/>
      <c r="E786" s="349"/>
    </row>
    <row r="787" spans="1:5" ht="15">
      <c r="A787" s="151"/>
      <c r="B787" s="347"/>
      <c r="C787" s="108"/>
      <c r="D787" s="108"/>
      <c r="E787" s="349"/>
    </row>
    <row r="788" spans="1:5" ht="15">
      <c r="A788" s="151"/>
      <c r="B788" s="347"/>
      <c r="C788" s="108"/>
      <c r="D788" s="108"/>
      <c r="E788" s="349"/>
    </row>
    <row r="789" spans="1:5" ht="15">
      <c r="A789" s="151"/>
      <c r="B789" s="347"/>
      <c r="C789" s="108"/>
      <c r="D789" s="108"/>
      <c r="E789" s="349"/>
    </row>
    <row r="790" spans="1:5" ht="15">
      <c r="A790" s="151"/>
      <c r="B790" s="347"/>
      <c r="C790" s="108"/>
      <c r="D790" s="108"/>
      <c r="E790" s="349"/>
    </row>
    <row r="791" spans="1:5" ht="15">
      <c r="A791" s="151"/>
      <c r="B791" s="347"/>
      <c r="C791" s="108"/>
      <c r="D791" s="108"/>
      <c r="E791" s="349"/>
    </row>
    <row r="792" spans="1:5" ht="15">
      <c r="A792" s="151"/>
      <c r="B792" s="347"/>
      <c r="C792" s="108"/>
      <c r="D792" s="108"/>
      <c r="E792" s="349"/>
    </row>
    <row r="793" spans="1:5" ht="15">
      <c r="A793" s="151"/>
      <c r="B793" s="347"/>
      <c r="C793" s="108"/>
      <c r="D793" s="108"/>
      <c r="E793" s="349"/>
    </row>
    <row r="794" spans="1:5" ht="15">
      <c r="A794" s="151"/>
      <c r="B794" s="347"/>
      <c r="C794" s="108"/>
      <c r="D794" s="108"/>
      <c r="E794" s="349"/>
    </row>
    <row r="795" spans="1:5" ht="15">
      <c r="A795" s="151"/>
      <c r="B795" s="347"/>
      <c r="C795" s="108"/>
      <c r="D795" s="108"/>
      <c r="E795" s="349"/>
    </row>
    <row r="796" spans="1:5" ht="15">
      <c r="A796" s="151"/>
      <c r="B796" s="347"/>
      <c r="C796" s="108"/>
      <c r="D796" s="108"/>
      <c r="E796" s="349"/>
    </row>
    <row r="797" spans="1:5" ht="15">
      <c r="A797" s="151"/>
      <c r="B797" s="347"/>
      <c r="C797" s="108"/>
      <c r="D797" s="108"/>
      <c r="E797" s="349"/>
    </row>
    <row r="798" spans="1:5" ht="15">
      <c r="A798" s="151"/>
      <c r="B798" s="347"/>
      <c r="C798" s="108"/>
      <c r="D798" s="108"/>
      <c r="E798" s="349"/>
    </row>
    <row r="799" spans="1:5" ht="15">
      <c r="A799" s="151"/>
      <c r="B799" s="347"/>
      <c r="C799" s="108"/>
      <c r="D799" s="108"/>
      <c r="E799" s="349"/>
    </row>
    <row r="800" spans="1:5" ht="15">
      <c r="A800" s="151"/>
      <c r="B800" s="347"/>
      <c r="C800" s="108"/>
      <c r="D800" s="108"/>
      <c r="E800" s="349"/>
    </row>
    <row r="801" spans="1:5" ht="15">
      <c r="A801" s="151"/>
      <c r="B801" s="347"/>
      <c r="C801" s="108"/>
      <c r="D801" s="108"/>
      <c r="E801" s="349"/>
    </row>
    <row r="802" spans="1:5" ht="15">
      <c r="A802" s="151"/>
      <c r="B802" s="347"/>
      <c r="C802" s="108"/>
      <c r="D802" s="108"/>
      <c r="E802" s="349"/>
    </row>
    <row r="803" spans="1:5" ht="15">
      <c r="A803" s="151"/>
      <c r="B803" s="347"/>
      <c r="C803" s="108"/>
      <c r="D803" s="108"/>
      <c r="E803" s="349"/>
    </row>
    <row r="804" spans="1:5" ht="15">
      <c r="A804" s="151"/>
      <c r="B804" s="347"/>
      <c r="C804" s="108"/>
      <c r="D804" s="108"/>
      <c r="E804" s="349"/>
    </row>
    <row r="805" spans="1:5" ht="15">
      <c r="A805" s="151"/>
      <c r="B805" s="347"/>
      <c r="C805" s="108"/>
      <c r="D805" s="108"/>
      <c r="E805" s="349"/>
    </row>
    <row r="806" spans="1:5" ht="15">
      <c r="A806" s="151"/>
      <c r="B806" s="347"/>
      <c r="C806" s="108"/>
      <c r="D806" s="108"/>
      <c r="E806" s="349"/>
    </row>
    <row r="807" spans="1:5" ht="15">
      <c r="A807" s="151"/>
      <c r="B807" s="347"/>
      <c r="C807" s="108"/>
      <c r="D807" s="108"/>
      <c r="E807" s="349"/>
    </row>
    <row r="808" spans="1:5" ht="15">
      <c r="A808" s="151"/>
      <c r="B808" s="347"/>
      <c r="C808" s="108"/>
      <c r="D808" s="108"/>
      <c r="E808" s="349"/>
    </row>
    <row r="809" spans="1:5" ht="15">
      <c r="A809" s="151"/>
      <c r="B809" s="347"/>
      <c r="C809" s="108"/>
      <c r="D809" s="108"/>
      <c r="E809" s="349"/>
    </row>
    <row r="810" spans="1:5" ht="15">
      <c r="A810" s="151"/>
      <c r="B810" s="347"/>
      <c r="C810" s="108"/>
      <c r="D810" s="108"/>
      <c r="E810" s="349"/>
    </row>
    <row r="811" spans="1:5" ht="15">
      <c r="A811" s="151"/>
      <c r="B811" s="347"/>
      <c r="C811" s="108"/>
      <c r="D811" s="108"/>
      <c r="E811" s="349"/>
    </row>
    <row r="812" spans="1:5" ht="15">
      <c r="A812" s="151"/>
      <c r="B812" s="347"/>
      <c r="C812" s="108"/>
      <c r="D812" s="108"/>
      <c r="E812" s="349"/>
    </row>
    <row r="813" spans="1:5" ht="15">
      <c r="A813" s="151"/>
      <c r="B813" s="347"/>
      <c r="C813" s="108"/>
      <c r="D813" s="108"/>
      <c r="E813" s="349"/>
    </row>
    <row r="814" spans="1:5" ht="15">
      <c r="A814" s="151"/>
      <c r="B814" s="347"/>
      <c r="C814" s="108"/>
      <c r="D814" s="108"/>
      <c r="E814" s="349"/>
    </row>
    <row r="815" spans="1:5" ht="15">
      <c r="A815" s="151"/>
      <c r="B815" s="347"/>
      <c r="C815" s="108"/>
      <c r="D815" s="108"/>
      <c r="E815" s="349"/>
    </row>
    <row r="816" spans="1:5" ht="15">
      <c r="A816" s="151"/>
      <c r="B816" s="347"/>
      <c r="C816" s="108"/>
      <c r="D816" s="108"/>
      <c r="E816" s="349"/>
    </row>
    <row r="817" spans="1:5" ht="15">
      <c r="A817" s="151"/>
      <c r="B817" s="347"/>
      <c r="C817" s="108"/>
      <c r="D817" s="108"/>
      <c r="E817" s="349"/>
    </row>
    <row r="818" spans="1:5" ht="15">
      <c r="A818" s="151"/>
      <c r="B818" s="347"/>
      <c r="C818" s="108"/>
      <c r="D818" s="108"/>
      <c r="E818" s="349"/>
    </row>
    <row r="819" spans="1:5" ht="15">
      <c r="A819" s="151"/>
      <c r="B819" s="347"/>
      <c r="C819" s="108"/>
      <c r="D819" s="108"/>
      <c r="E819" s="349"/>
    </row>
    <row r="820" spans="1:5" ht="15">
      <c r="A820" s="151"/>
      <c r="B820" s="347"/>
      <c r="C820" s="108"/>
      <c r="D820" s="108"/>
      <c r="E820" s="349"/>
    </row>
    <row r="821" spans="1:5" ht="15">
      <c r="A821" s="151"/>
      <c r="B821" s="347"/>
      <c r="C821" s="108"/>
      <c r="D821" s="108"/>
      <c r="E821" s="349"/>
    </row>
    <row r="822" spans="1:5" ht="15">
      <c r="A822" s="151"/>
      <c r="B822" s="347"/>
      <c r="C822" s="108"/>
      <c r="D822" s="108"/>
      <c r="E822" s="349"/>
    </row>
    <row r="823" spans="1:5" ht="15">
      <c r="A823" s="151"/>
      <c r="B823" s="347"/>
      <c r="C823" s="108"/>
      <c r="D823" s="108"/>
      <c r="E823" s="349"/>
    </row>
    <row r="824" spans="1:5" ht="15">
      <c r="A824" s="151"/>
      <c r="B824" s="347"/>
      <c r="C824" s="108"/>
      <c r="D824" s="108"/>
      <c r="E824" s="349"/>
    </row>
    <row r="825" spans="1:5" ht="15">
      <c r="A825" s="151"/>
      <c r="B825" s="347"/>
      <c r="C825" s="108"/>
      <c r="D825" s="108"/>
      <c r="E825" s="349"/>
    </row>
    <row r="826" spans="1:5" ht="15">
      <c r="A826" s="151"/>
      <c r="B826" s="347"/>
      <c r="C826" s="108"/>
      <c r="D826" s="108"/>
      <c r="E826" s="349"/>
    </row>
    <row r="827" spans="1:5" ht="15">
      <c r="A827" s="151"/>
      <c r="B827" s="347"/>
      <c r="C827" s="108"/>
      <c r="D827" s="108"/>
      <c r="E827" s="349"/>
    </row>
    <row r="828" spans="1:5" ht="15">
      <c r="A828" s="151"/>
      <c r="B828" s="347"/>
      <c r="C828" s="108"/>
      <c r="D828" s="108"/>
      <c r="E828" s="349"/>
    </row>
    <row r="829" spans="1:5" ht="15">
      <c r="A829" s="151"/>
      <c r="B829" s="347"/>
      <c r="C829" s="108"/>
      <c r="D829" s="108"/>
      <c r="E829" s="349"/>
    </row>
    <row r="830" spans="1:5" ht="15">
      <c r="A830" s="151"/>
      <c r="B830" s="347"/>
      <c r="C830" s="108"/>
      <c r="D830" s="108"/>
      <c r="E830" s="349"/>
    </row>
    <row r="831" spans="1:5" ht="15">
      <c r="A831" s="151"/>
      <c r="B831" s="347"/>
      <c r="C831" s="108"/>
      <c r="D831" s="108"/>
      <c r="E831" s="349"/>
    </row>
    <row r="832" spans="1:5" ht="15">
      <c r="A832" s="151"/>
      <c r="B832" s="347"/>
      <c r="C832" s="108"/>
      <c r="D832" s="108"/>
      <c r="E832" s="349"/>
    </row>
    <row r="833" spans="1:5" ht="15">
      <c r="A833" s="151"/>
      <c r="B833" s="347"/>
      <c r="C833" s="108"/>
      <c r="D833" s="108"/>
      <c r="E833" s="349"/>
    </row>
    <row r="834" spans="1:5" ht="15">
      <c r="A834" s="151"/>
      <c r="B834" s="347"/>
      <c r="C834" s="108"/>
      <c r="D834" s="108"/>
      <c r="E834" s="349"/>
    </row>
    <row r="835" spans="1:5" ht="15">
      <c r="A835" s="151"/>
      <c r="B835" s="347"/>
      <c r="C835" s="108"/>
      <c r="D835" s="108"/>
      <c r="E835" s="349"/>
    </row>
    <row r="836" spans="1:5" ht="15">
      <c r="A836" s="151"/>
      <c r="B836" s="347"/>
      <c r="C836" s="108"/>
      <c r="D836" s="108"/>
      <c r="E836" s="349"/>
    </row>
    <row r="837" spans="1:5" ht="15">
      <c r="A837" s="151"/>
      <c r="B837" s="347"/>
      <c r="C837" s="108"/>
      <c r="D837" s="108"/>
      <c r="E837" s="349"/>
    </row>
    <row r="838" spans="1:5" ht="15">
      <c r="A838" s="151"/>
      <c r="B838" s="347"/>
      <c r="C838" s="108"/>
      <c r="D838" s="108"/>
      <c r="E838" s="349"/>
    </row>
    <row r="839" spans="1:5" ht="15">
      <c r="A839" s="151"/>
      <c r="B839" s="347"/>
      <c r="C839" s="108"/>
      <c r="D839" s="108"/>
      <c r="E839" s="349"/>
    </row>
    <row r="840" spans="1:5" ht="15">
      <c r="A840" s="151"/>
      <c r="B840" s="347"/>
      <c r="C840" s="108"/>
      <c r="D840" s="108"/>
      <c r="E840" s="349"/>
    </row>
    <row r="841" spans="1:5" ht="15">
      <c r="A841" s="151"/>
      <c r="B841" s="347"/>
      <c r="C841" s="108"/>
      <c r="D841" s="108"/>
      <c r="E841" s="349"/>
    </row>
    <row r="842" spans="1:5" ht="15">
      <c r="A842" s="151"/>
      <c r="B842" s="347"/>
      <c r="C842" s="108"/>
      <c r="D842" s="108"/>
      <c r="E842" s="349"/>
    </row>
    <row r="843" spans="1:5" ht="15">
      <c r="A843" s="151"/>
      <c r="B843" s="347"/>
      <c r="C843" s="108"/>
      <c r="D843" s="108"/>
      <c r="E843" s="349"/>
    </row>
    <row r="844" spans="1:5" ht="15">
      <c r="A844" s="151"/>
      <c r="B844" s="347"/>
      <c r="C844" s="108"/>
      <c r="D844" s="108"/>
      <c r="E844" s="349"/>
    </row>
    <row r="845" spans="1:5" ht="15">
      <c r="A845" s="151"/>
      <c r="B845" s="347"/>
      <c r="C845" s="108"/>
      <c r="D845" s="108"/>
      <c r="E845" s="349"/>
    </row>
    <row r="846" spans="1:5" ht="15">
      <c r="A846" s="151"/>
      <c r="B846" s="347"/>
      <c r="C846" s="108"/>
      <c r="D846" s="108"/>
      <c r="E846" s="349"/>
    </row>
    <row r="847" spans="1:5" ht="15">
      <c r="A847" s="151"/>
      <c r="B847" s="347"/>
      <c r="C847" s="108"/>
      <c r="D847" s="108"/>
      <c r="E847" s="349"/>
    </row>
    <row r="848" spans="1:5" ht="15">
      <c r="A848" s="151"/>
      <c r="B848" s="347"/>
      <c r="C848" s="108"/>
      <c r="D848" s="108"/>
      <c r="E848" s="349"/>
    </row>
    <row r="849" spans="1:5" ht="15">
      <c r="A849" s="151"/>
      <c r="B849" s="347"/>
      <c r="C849" s="108"/>
      <c r="D849" s="108"/>
      <c r="E849" s="349"/>
    </row>
    <row r="850" spans="1:5" ht="15">
      <c r="A850" s="151"/>
      <c r="B850" s="347"/>
      <c r="C850" s="108"/>
      <c r="D850" s="108"/>
      <c r="E850" s="349"/>
    </row>
    <row r="851" spans="1:5" ht="15">
      <c r="A851" s="151"/>
      <c r="B851" s="347"/>
      <c r="C851" s="108"/>
      <c r="D851" s="108"/>
      <c r="E851" s="349"/>
    </row>
    <row r="852" spans="1:5" ht="15">
      <c r="A852" s="151"/>
      <c r="B852" s="347"/>
      <c r="C852" s="108"/>
      <c r="D852" s="108"/>
      <c r="E852" s="349"/>
    </row>
    <row r="853" spans="1:5" ht="15">
      <c r="A853" s="151"/>
      <c r="B853" s="347"/>
      <c r="C853" s="108"/>
      <c r="D853" s="108"/>
      <c r="E853" s="349"/>
    </row>
    <row r="854" spans="1:5" ht="15">
      <c r="A854" s="151"/>
      <c r="B854" s="347"/>
      <c r="C854" s="108"/>
      <c r="D854" s="108"/>
      <c r="E854" s="349"/>
    </row>
    <row r="855" spans="1:5" ht="15">
      <c r="A855" s="151"/>
      <c r="B855" s="347"/>
      <c r="C855" s="108"/>
      <c r="D855" s="108"/>
      <c r="E855" s="349"/>
    </row>
    <row r="856" spans="1:5" ht="15">
      <c r="A856" s="151"/>
      <c r="B856" s="347"/>
      <c r="C856" s="108"/>
      <c r="D856" s="108"/>
      <c r="E856" s="349"/>
    </row>
    <row r="857" spans="1:5" ht="15">
      <c r="A857" s="151"/>
      <c r="B857" s="347"/>
      <c r="C857" s="108"/>
      <c r="D857" s="108"/>
      <c r="E857" s="349"/>
    </row>
    <row r="858" spans="1:5" ht="15">
      <c r="A858" s="151"/>
      <c r="B858" s="347"/>
      <c r="C858" s="108"/>
      <c r="D858" s="108"/>
      <c r="E858" s="349"/>
    </row>
    <row r="859" spans="1:5" ht="15">
      <c r="A859" s="151"/>
      <c r="B859" s="347"/>
      <c r="C859" s="108"/>
      <c r="D859" s="108"/>
      <c r="E859" s="349"/>
    </row>
    <row r="860" spans="1:5" ht="15">
      <c r="A860" s="151"/>
      <c r="B860" s="347"/>
      <c r="C860" s="108"/>
      <c r="D860" s="108"/>
      <c r="E860" s="349"/>
    </row>
    <row r="861" spans="1:5" ht="15">
      <c r="A861" s="151"/>
      <c r="B861" s="347"/>
      <c r="C861" s="108"/>
      <c r="D861" s="108"/>
      <c r="E861" s="349"/>
    </row>
    <row r="862" spans="1:5" ht="15">
      <c r="A862" s="151"/>
      <c r="B862" s="347"/>
      <c r="C862" s="108"/>
      <c r="D862" s="108"/>
      <c r="E862" s="349"/>
    </row>
    <row r="863" spans="1:5" ht="15">
      <c r="A863" s="151"/>
      <c r="B863" s="347"/>
      <c r="C863" s="108"/>
      <c r="D863" s="108"/>
      <c r="E863" s="349"/>
    </row>
    <row r="864" spans="1:5" ht="15">
      <c r="A864" s="151"/>
      <c r="B864" s="347"/>
      <c r="C864" s="108"/>
      <c r="D864" s="108"/>
      <c r="E864" s="349"/>
    </row>
    <row r="865" spans="1:5" ht="15">
      <c r="A865" s="151"/>
      <c r="B865" s="347"/>
      <c r="C865" s="108"/>
      <c r="D865" s="108"/>
      <c r="E865" s="349"/>
    </row>
    <row r="866" spans="1:5" ht="15">
      <c r="A866" s="151"/>
      <c r="B866" s="347"/>
      <c r="C866" s="108"/>
      <c r="D866" s="108"/>
      <c r="E866" s="349"/>
    </row>
    <row r="867" spans="1:5" ht="15">
      <c r="A867" s="151"/>
      <c r="B867" s="347"/>
      <c r="C867" s="108"/>
      <c r="D867" s="108"/>
      <c r="E867" s="349"/>
    </row>
    <row r="868" spans="1:5" ht="15">
      <c r="A868" s="151"/>
      <c r="B868" s="347"/>
      <c r="C868" s="108"/>
      <c r="D868" s="108"/>
      <c r="E868" s="349"/>
    </row>
    <row r="869" spans="1:5" ht="15">
      <c r="A869" s="151"/>
      <c r="B869" s="347"/>
      <c r="C869" s="108"/>
      <c r="D869" s="108"/>
      <c r="E869" s="349"/>
    </row>
    <row r="870" spans="1:5" ht="15">
      <c r="A870" s="151"/>
      <c r="B870" s="347"/>
      <c r="C870" s="108"/>
      <c r="D870" s="108"/>
      <c r="E870" s="349"/>
    </row>
    <row r="871" spans="1:5" ht="15">
      <c r="A871" s="151"/>
      <c r="B871" s="347"/>
      <c r="C871" s="108"/>
      <c r="D871" s="108"/>
      <c r="E871" s="349"/>
    </row>
    <row r="872" spans="1:5" ht="15">
      <c r="A872" s="151"/>
      <c r="B872" s="347"/>
      <c r="C872" s="108"/>
      <c r="D872" s="108"/>
      <c r="E872" s="349"/>
    </row>
    <row r="873" spans="1:5" ht="15">
      <c r="A873" s="151"/>
      <c r="B873" s="347"/>
      <c r="C873" s="108"/>
      <c r="D873" s="108"/>
      <c r="E873" s="349"/>
    </row>
    <row r="874" spans="1:5" ht="15">
      <c r="A874" s="151"/>
      <c r="B874" s="347"/>
      <c r="C874" s="108"/>
      <c r="D874" s="108"/>
      <c r="E874" s="349"/>
    </row>
    <row r="875" spans="1:5" ht="15">
      <c r="A875" s="151"/>
      <c r="B875" s="347"/>
      <c r="C875" s="108"/>
      <c r="D875" s="108"/>
      <c r="E875" s="349"/>
    </row>
    <row r="876" spans="1:5" ht="15">
      <c r="A876" s="151"/>
      <c r="B876" s="347"/>
      <c r="C876" s="108"/>
      <c r="D876" s="108"/>
      <c r="E876" s="349"/>
    </row>
    <row r="877" spans="1:5" ht="15">
      <c r="A877" s="151"/>
      <c r="B877" s="347"/>
      <c r="C877" s="108"/>
      <c r="D877" s="108"/>
      <c r="E877" s="349"/>
    </row>
    <row r="878" spans="1:5" ht="15">
      <c r="A878" s="151"/>
      <c r="B878" s="347"/>
      <c r="C878" s="108"/>
      <c r="D878" s="108"/>
      <c r="E878" s="349"/>
    </row>
    <row r="879" spans="1:5" ht="15">
      <c r="A879" s="151"/>
      <c r="B879" s="347"/>
      <c r="C879" s="108"/>
      <c r="D879" s="108"/>
      <c r="E879" s="349"/>
    </row>
    <row r="880" spans="1:5" ht="15">
      <c r="A880" s="151"/>
      <c r="B880" s="347"/>
      <c r="C880" s="108"/>
      <c r="D880" s="108"/>
      <c r="E880" s="349"/>
    </row>
    <row r="881" spans="1:5" ht="15">
      <c r="A881" s="151"/>
      <c r="B881" s="347"/>
      <c r="C881" s="108"/>
      <c r="D881" s="108"/>
      <c r="E881" s="349"/>
    </row>
    <row r="882" spans="1:5" ht="15">
      <c r="A882" s="151"/>
      <c r="B882" s="347"/>
      <c r="C882" s="108"/>
      <c r="D882" s="108"/>
      <c r="E882" s="349"/>
    </row>
    <row r="883" spans="1:5" ht="15">
      <c r="A883" s="151"/>
      <c r="B883" s="347"/>
      <c r="C883" s="108"/>
      <c r="D883" s="108"/>
      <c r="E883" s="349"/>
    </row>
    <row r="884" spans="1:5" ht="15">
      <c r="A884" s="151"/>
      <c r="B884" s="347"/>
      <c r="C884" s="108"/>
      <c r="D884" s="108"/>
      <c r="E884" s="349"/>
    </row>
    <row r="885" spans="1:5" ht="15">
      <c r="A885" s="151"/>
      <c r="B885" s="347"/>
      <c r="C885" s="108"/>
      <c r="D885" s="108"/>
      <c r="E885" s="349"/>
    </row>
    <row r="886" spans="1:5" ht="15">
      <c r="A886" s="151"/>
      <c r="B886" s="347"/>
      <c r="C886" s="108"/>
      <c r="D886" s="108"/>
      <c r="E886" s="349"/>
    </row>
    <row r="887" spans="1:5" ht="15">
      <c r="A887" s="151"/>
      <c r="B887" s="347"/>
      <c r="C887" s="108"/>
      <c r="D887" s="108"/>
      <c r="E887" s="349"/>
    </row>
    <row r="888" spans="1:5" ht="15">
      <c r="A888" s="151"/>
      <c r="B888" s="347"/>
      <c r="C888" s="108"/>
      <c r="D888" s="108"/>
      <c r="E888" s="349"/>
    </row>
    <row r="889" spans="1:5" ht="15">
      <c r="A889" s="151"/>
      <c r="B889" s="347"/>
      <c r="C889" s="108"/>
      <c r="D889" s="108"/>
      <c r="E889" s="349"/>
    </row>
    <row r="890" spans="1:5" ht="15">
      <c r="A890" s="151"/>
      <c r="B890" s="347"/>
      <c r="C890" s="108"/>
      <c r="D890" s="108"/>
      <c r="E890" s="349"/>
    </row>
    <row r="891" spans="1:5" ht="15">
      <c r="A891" s="151"/>
      <c r="B891" s="347"/>
      <c r="C891" s="108"/>
      <c r="D891" s="108"/>
      <c r="E891" s="349"/>
    </row>
    <row r="892" spans="1:5" ht="15">
      <c r="A892" s="151"/>
      <c r="B892" s="347"/>
      <c r="C892" s="108"/>
      <c r="D892" s="108"/>
      <c r="E892" s="349"/>
    </row>
    <row r="893" spans="1:5" ht="15">
      <c r="A893" s="151"/>
      <c r="B893" s="347"/>
      <c r="C893" s="108"/>
      <c r="D893" s="108"/>
      <c r="E893" s="349"/>
    </row>
    <row r="894" spans="1:5" ht="15">
      <c r="A894" s="151"/>
      <c r="B894" s="347"/>
      <c r="C894" s="108"/>
      <c r="D894" s="108"/>
      <c r="E894" s="349"/>
    </row>
    <row r="895" spans="1:5" ht="15">
      <c r="A895" s="151"/>
      <c r="B895" s="347"/>
      <c r="C895" s="108"/>
      <c r="D895" s="108"/>
      <c r="E895" s="349"/>
    </row>
    <row r="896" spans="1:5" ht="15">
      <c r="A896" s="151"/>
      <c r="B896" s="347"/>
      <c r="C896" s="108"/>
      <c r="D896" s="108"/>
      <c r="E896" s="349"/>
    </row>
    <row r="897" spans="1:5" ht="15">
      <c r="A897" s="151"/>
      <c r="B897" s="347"/>
      <c r="C897" s="108"/>
      <c r="D897" s="108"/>
      <c r="E897" s="349"/>
    </row>
    <row r="898" spans="1:5" ht="15">
      <c r="A898" s="151"/>
      <c r="B898" s="347"/>
      <c r="C898" s="108"/>
      <c r="D898" s="108"/>
      <c r="E898" s="349"/>
    </row>
    <row r="899" spans="1:5" ht="15">
      <c r="A899" s="151"/>
      <c r="B899" s="347"/>
      <c r="C899" s="108"/>
      <c r="D899" s="108"/>
      <c r="E899" s="349"/>
    </row>
    <row r="900" spans="1:5" ht="15">
      <c r="A900" s="151"/>
      <c r="B900" s="347"/>
      <c r="C900" s="108"/>
      <c r="D900" s="108"/>
      <c r="E900" s="349"/>
    </row>
    <row r="901" spans="1:5" ht="15">
      <c r="A901" s="151"/>
      <c r="B901" s="347"/>
      <c r="C901" s="108"/>
      <c r="D901" s="108"/>
      <c r="E901" s="349"/>
    </row>
    <row r="902" spans="1:5" ht="15">
      <c r="A902" s="151"/>
      <c r="B902" s="347"/>
      <c r="C902" s="108"/>
      <c r="D902" s="108"/>
      <c r="E902" s="349"/>
    </row>
    <row r="903" spans="1:5" ht="15">
      <c r="A903" s="151"/>
      <c r="B903" s="347"/>
      <c r="C903" s="108"/>
      <c r="D903" s="108"/>
      <c r="E903" s="349"/>
    </row>
    <row r="904" spans="1:5" ht="15">
      <c r="A904" s="151"/>
      <c r="B904" s="347"/>
      <c r="C904" s="108"/>
      <c r="D904" s="108"/>
      <c r="E904" s="349"/>
    </row>
    <row r="905" spans="1:5" ht="15">
      <c r="A905" s="151"/>
      <c r="B905" s="347"/>
      <c r="C905" s="108"/>
      <c r="D905" s="108"/>
      <c r="E905" s="349"/>
    </row>
    <row r="906" spans="1:5" ht="15">
      <c r="A906" s="151"/>
      <c r="B906" s="347"/>
      <c r="C906" s="108"/>
      <c r="D906" s="108"/>
      <c r="E906" s="349"/>
    </row>
    <row r="907" spans="1:5" ht="15">
      <c r="A907" s="151"/>
      <c r="B907" s="347"/>
      <c r="C907" s="108"/>
      <c r="D907" s="108"/>
      <c r="E907" s="349"/>
    </row>
    <row r="908" spans="1:5" ht="15">
      <c r="A908" s="151"/>
      <c r="B908" s="347"/>
      <c r="C908" s="108"/>
      <c r="D908" s="108"/>
      <c r="E908" s="349"/>
    </row>
    <row r="909" spans="1:5" ht="15">
      <c r="A909" s="151"/>
      <c r="B909" s="347"/>
      <c r="C909" s="108"/>
      <c r="D909" s="108"/>
      <c r="E909" s="349"/>
    </row>
    <row r="910" spans="1:5" ht="15">
      <c r="A910" s="151"/>
      <c r="B910" s="347"/>
      <c r="C910" s="108"/>
      <c r="D910" s="108"/>
      <c r="E910" s="349"/>
    </row>
    <row r="911" spans="1:5" ht="15">
      <c r="A911" s="151"/>
      <c r="B911" s="347"/>
      <c r="C911" s="108"/>
      <c r="D911" s="108"/>
      <c r="E911" s="349"/>
    </row>
    <row r="912" spans="1:5" ht="15">
      <c r="A912" s="151"/>
      <c r="B912" s="347"/>
      <c r="C912" s="108"/>
      <c r="D912" s="108"/>
      <c r="E912" s="349"/>
    </row>
    <row r="913" spans="1:5" ht="15">
      <c r="A913" s="151"/>
      <c r="B913" s="347"/>
      <c r="C913" s="108"/>
      <c r="D913" s="108"/>
      <c r="E913" s="349"/>
    </row>
    <row r="914" spans="1:5" ht="15">
      <c r="A914" s="151"/>
      <c r="B914" s="347"/>
      <c r="C914" s="108"/>
      <c r="D914" s="108"/>
      <c r="E914" s="349"/>
    </row>
    <row r="915" spans="1:5" ht="15">
      <c r="A915" s="151"/>
      <c r="B915" s="347"/>
      <c r="C915" s="108"/>
      <c r="D915" s="108"/>
      <c r="E915" s="349"/>
    </row>
    <row r="916" spans="1:5" ht="15">
      <c r="A916" s="151"/>
      <c r="B916" s="347"/>
      <c r="C916" s="108"/>
      <c r="D916" s="108"/>
      <c r="E916" s="349"/>
    </row>
    <row r="917" spans="1:5" ht="15">
      <c r="A917" s="151"/>
      <c r="B917" s="347"/>
      <c r="C917" s="108"/>
      <c r="D917" s="108"/>
      <c r="E917" s="349"/>
    </row>
    <row r="918" spans="1:5" ht="15">
      <c r="A918" s="151"/>
      <c r="B918" s="347"/>
      <c r="C918" s="108"/>
      <c r="D918" s="108"/>
      <c r="E918" s="349"/>
    </row>
    <row r="919" spans="1:5" ht="15">
      <c r="A919" s="151"/>
      <c r="B919" s="347"/>
      <c r="C919" s="108"/>
      <c r="D919" s="108"/>
      <c r="E919" s="349"/>
    </row>
    <row r="920" spans="1:5" ht="15">
      <c r="A920" s="151"/>
      <c r="B920" s="347"/>
      <c r="C920" s="108"/>
      <c r="D920" s="108"/>
      <c r="E920" s="349"/>
    </row>
    <row r="921" spans="1:5" ht="15">
      <c r="A921" s="151"/>
      <c r="B921" s="347"/>
      <c r="C921" s="108"/>
      <c r="D921" s="108"/>
      <c r="E921" s="349"/>
    </row>
    <row r="922" spans="1:5" ht="15">
      <c r="A922" s="151"/>
      <c r="B922" s="347"/>
      <c r="C922" s="108"/>
      <c r="D922" s="108"/>
      <c r="E922" s="349"/>
    </row>
    <row r="923" spans="1:5" ht="15">
      <c r="A923" s="151"/>
      <c r="B923" s="347"/>
      <c r="C923" s="108"/>
      <c r="D923" s="108"/>
      <c r="E923" s="349"/>
    </row>
    <row r="924" spans="1:5" ht="15">
      <c r="A924" s="151"/>
      <c r="B924" s="347"/>
      <c r="C924" s="108"/>
      <c r="D924" s="108"/>
      <c r="E924" s="349"/>
    </row>
    <row r="925" spans="1:5" ht="15">
      <c r="A925" s="151"/>
      <c r="B925" s="347"/>
      <c r="C925" s="108"/>
      <c r="D925" s="108"/>
      <c r="E925" s="349"/>
    </row>
    <row r="926" spans="1:5" ht="15">
      <c r="A926" s="151"/>
      <c r="B926" s="347"/>
      <c r="C926" s="108"/>
      <c r="D926" s="108"/>
      <c r="E926" s="349"/>
    </row>
    <row r="927" spans="1:5" ht="15">
      <c r="A927" s="151"/>
      <c r="B927" s="347"/>
      <c r="C927" s="108"/>
      <c r="D927" s="108"/>
      <c r="E927" s="349"/>
    </row>
    <row r="928" spans="1:5" ht="15">
      <c r="A928" s="151"/>
      <c r="B928" s="347"/>
      <c r="C928" s="108"/>
      <c r="D928" s="108"/>
      <c r="E928" s="349"/>
    </row>
    <row r="929" spans="1:5" ht="15">
      <c r="A929" s="151"/>
      <c r="B929" s="347"/>
      <c r="C929" s="108"/>
      <c r="D929" s="108"/>
      <c r="E929" s="349"/>
    </row>
    <row r="930" spans="1:5" ht="15">
      <c r="A930" s="151"/>
      <c r="B930" s="347"/>
      <c r="C930" s="108"/>
      <c r="D930" s="108"/>
      <c r="E930" s="349"/>
    </row>
    <row r="931" spans="1:5" ht="15">
      <c r="A931" s="151"/>
      <c r="B931" s="347"/>
      <c r="C931" s="108"/>
      <c r="D931" s="108"/>
      <c r="E931" s="349"/>
    </row>
    <row r="932" spans="1:5" ht="15">
      <c r="A932" s="151"/>
      <c r="B932" s="347"/>
      <c r="C932" s="108"/>
      <c r="D932" s="108"/>
      <c r="E932" s="349"/>
    </row>
    <row r="933" spans="1:5" ht="15">
      <c r="A933" s="151"/>
      <c r="B933" s="347"/>
      <c r="C933" s="108"/>
      <c r="D933" s="108"/>
      <c r="E933" s="349"/>
    </row>
    <row r="934" spans="1:5" ht="15">
      <c r="A934" s="151"/>
      <c r="B934" s="347"/>
      <c r="C934" s="108"/>
      <c r="D934" s="108"/>
      <c r="E934" s="349"/>
    </row>
    <row r="935" spans="1:5" ht="15">
      <c r="A935" s="151"/>
      <c r="B935" s="347"/>
      <c r="C935" s="108"/>
      <c r="D935" s="108"/>
      <c r="E935" s="349"/>
    </row>
    <row r="936" spans="1:5" ht="15">
      <c r="A936" s="151"/>
      <c r="B936" s="347"/>
      <c r="C936" s="108"/>
      <c r="D936" s="108"/>
      <c r="E936" s="349"/>
    </row>
    <row r="937" spans="1:5" ht="15">
      <c r="A937" s="151"/>
      <c r="B937" s="347"/>
      <c r="C937" s="108"/>
      <c r="D937" s="108"/>
      <c r="E937" s="349"/>
    </row>
    <row r="938" spans="1:5" ht="15">
      <c r="A938" s="151"/>
      <c r="B938" s="347"/>
      <c r="C938" s="108"/>
      <c r="D938" s="108"/>
      <c r="E938" s="349"/>
    </row>
    <row r="939" spans="1:5" ht="15">
      <c r="A939" s="151"/>
      <c r="B939" s="347"/>
      <c r="C939" s="108"/>
      <c r="D939" s="108"/>
      <c r="E939" s="349"/>
    </row>
    <row r="940" spans="1:5" ht="15">
      <c r="A940" s="151"/>
      <c r="B940" s="347"/>
      <c r="C940" s="108"/>
      <c r="D940" s="108"/>
      <c r="E940" s="349"/>
    </row>
    <row r="941" spans="1:5" ht="15">
      <c r="A941" s="151"/>
      <c r="B941" s="347"/>
      <c r="C941" s="108"/>
      <c r="D941" s="108"/>
      <c r="E941" s="349"/>
    </row>
    <row r="942" spans="1:5" ht="15">
      <c r="A942" s="151"/>
      <c r="B942" s="347"/>
      <c r="C942" s="108"/>
      <c r="D942" s="108"/>
      <c r="E942" s="349"/>
    </row>
    <row r="943" spans="1:5" ht="15">
      <c r="A943" s="151"/>
      <c r="B943" s="347"/>
      <c r="C943" s="108"/>
      <c r="D943" s="108"/>
      <c r="E943" s="349"/>
    </row>
    <row r="944" spans="1:5" ht="15">
      <c r="A944" s="151"/>
      <c r="B944" s="347"/>
      <c r="C944" s="108"/>
      <c r="D944" s="108"/>
      <c r="E944" s="349"/>
    </row>
    <row r="945" spans="1:5" ht="15">
      <c r="A945" s="151"/>
      <c r="B945" s="347"/>
      <c r="C945" s="108"/>
      <c r="D945" s="108"/>
      <c r="E945" s="349"/>
    </row>
    <row r="946" spans="1:5" ht="15">
      <c r="A946" s="151"/>
      <c r="B946" s="347"/>
      <c r="C946" s="108"/>
      <c r="D946" s="108"/>
      <c r="E946" s="349"/>
    </row>
    <row r="947" spans="1:5" ht="15">
      <c r="A947" s="151"/>
      <c r="B947" s="347"/>
      <c r="C947" s="108"/>
      <c r="D947" s="108"/>
      <c r="E947" s="349"/>
    </row>
    <row r="948" spans="1:5" ht="15">
      <c r="A948" s="151"/>
      <c r="B948" s="347"/>
      <c r="C948" s="108"/>
      <c r="D948" s="108"/>
      <c r="E948" s="349"/>
    </row>
    <row r="949" spans="1:5" ht="15">
      <c r="A949" s="151"/>
      <c r="B949" s="347"/>
      <c r="C949" s="108"/>
      <c r="D949" s="108"/>
      <c r="E949" s="349"/>
    </row>
    <row r="950" spans="1:5" ht="15">
      <c r="A950" s="151"/>
      <c r="B950" s="347"/>
      <c r="C950" s="108"/>
      <c r="D950" s="108"/>
      <c r="E950" s="349"/>
    </row>
    <row r="951" spans="1:5" ht="15">
      <c r="A951" s="151"/>
      <c r="B951" s="347"/>
      <c r="C951" s="108"/>
      <c r="D951" s="108"/>
      <c r="E951" s="349"/>
    </row>
    <row r="952" spans="1:5" ht="15">
      <c r="A952" s="151"/>
      <c r="B952" s="347"/>
      <c r="C952" s="108"/>
      <c r="D952" s="108"/>
      <c r="E952" s="349"/>
    </row>
    <row r="953" spans="1:5" ht="15">
      <c r="A953" s="151"/>
      <c r="B953" s="347"/>
      <c r="C953" s="108"/>
      <c r="D953" s="108"/>
      <c r="E953" s="349"/>
    </row>
    <row r="954" spans="1:5" ht="15">
      <c r="A954" s="151"/>
      <c r="B954" s="347"/>
      <c r="C954" s="108"/>
      <c r="D954" s="108"/>
      <c r="E954" s="349"/>
    </row>
    <row r="955" spans="1:5" ht="15">
      <c r="A955" s="151"/>
      <c r="B955" s="347"/>
      <c r="C955" s="108"/>
      <c r="D955" s="108"/>
      <c r="E955" s="349"/>
    </row>
    <row r="956" spans="1:5" ht="15">
      <c r="A956" s="151"/>
      <c r="B956" s="347"/>
      <c r="C956" s="108"/>
      <c r="D956" s="108"/>
      <c r="E956" s="349"/>
    </row>
    <row r="957" spans="1:5" ht="15">
      <c r="A957" s="151"/>
      <c r="B957" s="347"/>
      <c r="C957" s="108"/>
      <c r="D957" s="108"/>
      <c r="E957" s="349"/>
    </row>
    <row r="958" spans="1:5" ht="15">
      <c r="A958" s="151"/>
      <c r="B958" s="347"/>
      <c r="C958" s="108"/>
      <c r="D958" s="108"/>
      <c r="E958" s="349"/>
    </row>
    <row r="959" spans="1:5" ht="15">
      <c r="A959" s="151"/>
      <c r="B959" s="347"/>
      <c r="C959" s="108"/>
      <c r="D959" s="108"/>
      <c r="E959" s="349"/>
    </row>
    <row r="960" spans="1:5" ht="15">
      <c r="A960" s="151"/>
      <c r="B960" s="347"/>
      <c r="C960" s="108"/>
      <c r="D960" s="108"/>
      <c r="E960" s="349"/>
    </row>
    <row r="961" spans="1:5" ht="15">
      <c r="A961" s="151"/>
      <c r="B961" s="347"/>
      <c r="C961" s="108"/>
      <c r="D961" s="108"/>
      <c r="E961" s="349"/>
    </row>
    <row r="962" spans="1:5" ht="15">
      <c r="A962" s="151"/>
      <c r="B962" s="347"/>
      <c r="C962" s="108"/>
      <c r="D962" s="108"/>
      <c r="E962" s="349"/>
    </row>
    <row r="963" spans="1:5" ht="15">
      <c r="A963" s="151"/>
      <c r="B963" s="347"/>
      <c r="C963" s="108"/>
      <c r="D963" s="108"/>
      <c r="E963" s="349"/>
    </row>
    <row r="964" spans="1:5" ht="15">
      <c r="A964" s="151"/>
      <c r="B964" s="347"/>
      <c r="C964" s="108"/>
      <c r="D964" s="108"/>
      <c r="E964" s="349"/>
    </row>
    <row r="965" spans="1:5" ht="15">
      <c r="A965" s="151"/>
      <c r="B965" s="347"/>
      <c r="C965" s="108"/>
      <c r="D965" s="108"/>
      <c r="E965" s="349"/>
    </row>
    <row r="966" spans="1:5" ht="15">
      <c r="A966" s="151"/>
      <c r="B966" s="347"/>
      <c r="C966" s="108"/>
      <c r="D966" s="108"/>
      <c r="E966" s="349"/>
    </row>
    <row r="967" spans="1:5" ht="15">
      <c r="A967" s="151"/>
      <c r="B967" s="347"/>
      <c r="C967" s="108"/>
      <c r="D967" s="108"/>
      <c r="E967" s="349"/>
    </row>
    <row r="968" spans="1:5" ht="15">
      <c r="A968" s="151"/>
      <c r="B968" s="347"/>
      <c r="C968" s="108"/>
      <c r="D968" s="108"/>
      <c r="E968" s="349"/>
    </row>
    <row r="969" spans="1:5" ht="15">
      <c r="A969" s="151"/>
      <c r="B969" s="347"/>
      <c r="C969" s="108"/>
      <c r="D969" s="108"/>
      <c r="E969" s="349"/>
    </row>
    <row r="970" spans="1:5" ht="15">
      <c r="A970" s="151"/>
      <c r="B970" s="347"/>
      <c r="C970" s="108"/>
      <c r="D970" s="108"/>
      <c r="E970" s="349"/>
    </row>
    <row r="971" spans="1:5" ht="15">
      <c r="A971" s="151"/>
      <c r="B971" s="347"/>
      <c r="C971" s="108"/>
      <c r="D971" s="108"/>
      <c r="E971" s="349"/>
    </row>
    <row r="972" spans="1:5" ht="15">
      <c r="A972" s="151"/>
      <c r="B972" s="347"/>
      <c r="C972" s="108"/>
      <c r="D972" s="108"/>
      <c r="E972" s="349"/>
    </row>
    <row r="973" spans="1:5" ht="15">
      <c r="A973" s="151"/>
      <c r="B973" s="347"/>
      <c r="C973" s="108"/>
      <c r="D973" s="108"/>
      <c r="E973" s="349"/>
    </row>
    <row r="974" spans="1:5" ht="15">
      <c r="A974" s="151"/>
      <c r="B974" s="347"/>
      <c r="C974" s="108"/>
      <c r="D974" s="108"/>
      <c r="E974" s="349"/>
    </row>
    <row r="975" spans="1:5" ht="15">
      <c r="A975" s="151"/>
      <c r="B975" s="347"/>
      <c r="C975" s="108"/>
      <c r="D975" s="108"/>
      <c r="E975" s="349"/>
    </row>
    <row r="976" spans="1:5" ht="15">
      <c r="A976" s="151"/>
      <c r="B976" s="347"/>
      <c r="C976" s="108"/>
      <c r="D976" s="108"/>
      <c r="E976" s="349"/>
    </row>
    <row r="977" spans="1:5" ht="15">
      <c r="A977" s="151"/>
      <c r="B977" s="347"/>
      <c r="C977" s="108"/>
      <c r="D977" s="108"/>
      <c r="E977" s="349"/>
    </row>
    <row r="978" spans="1:5" ht="15">
      <c r="A978" s="151"/>
      <c r="B978" s="347"/>
      <c r="C978" s="108"/>
      <c r="D978" s="108"/>
      <c r="E978" s="349"/>
    </row>
    <row r="979" spans="1:5" ht="15">
      <c r="A979" s="151"/>
      <c r="B979" s="347"/>
      <c r="C979" s="108"/>
      <c r="D979" s="108"/>
      <c r="E979" s="349"/>
    </row>
    <row r="980" spans="1:5" ht="15">
      <c r="A980" s="151"/>
      <c r="B980" s="347"/>
      <c r="C980" s="108"/>
      <c r="D980" s="108"/>
      <c r="E980" s="349"/>
    </row>
    <row r="981" spans="1:5" ht="15">
      <c r="A981" s="151"/>
      <c r="B981" s="347"/>
      <c r="C981" s="108"/>
      <c r="D981" s="108"/>
      <c r="E981" s="349"/>
    </row>
    <row r="982" spans="1:5" ht="15">
      <c r="A982" s="151"/>
      <c r="B982" s="347"/>
      <c r="C982" s="108"/>
      <c r="D982" s="108"/>
      <c r="E982" s="349"/>
    </row>
    <row r="983" spans="1:5" ht="15">
      <c r="A983" s="151"/>
      <c r="B983" s="347"/>
      <c r="C983" s="108"/>
      <c r="D983" s="108"/>
      <c r="E983" s="349"/>
    </row>
    <row r="984" spans="1:5" ht="15">
      <c r="A984" s="151"/>
      <c r="B984" s="347"/>
      <c r="C984" s="108"/>
      <c r="D984" s="108"/>
      <c r="E984" s="349"/>
    </row>
    <row r="985" spans="1:5" ht="15">
      <c r="A985" s="151"/>
      <c r="B985" s="347"/>
      <c r="C985" s="108"/>
      <c r="D985" s="108"/>
      <c r="E985" s="349"/>
    </row>
    <row r="986" spans="1:5" ht="15">
      <c r="A986" s="151"/>
      <c r="B986" s="347"/>
      <c r="C986" s="108"/>
      <c r="D986" s="108"/>
      <c r="E986" s="349"/>
    </row>
    <row r="987" spans="1:5" ht="15">
      <c r="A987" s="151"/>
      <c r="B987" s="347"/>
      <c r="C987" s="108"/>
      <c r="D987" s="108"/>
      <c r="E987" s="349"/>
    </row>
    <row r="988" spans="1:5" ht="15">
      <c r="A988" s="151"/>
      <c r="B988" s="347"/>
      <c r="C988" s="108"/>
      <c r="D988" s="108"/>
      <c r="E988" s="349"/>
    </row>
    <row r="989" spans="1:5" ht="15">
      <c r="A989" s="151"/>
      <c r="B989" s="347"/>
      <c r="C989" s="108"/>
      <c r="D989" s="108"/>
      <c r="E989" s="349"/>
    </row>
    <row r="990" spans="1:5" ht="15">
      <c r="A990" s="151"/>
      <c r="B990" s="347"/>
      <c r="C990" s="108"/>
      <c r="D990" s="108"/>
      <c r="E990" s="349"/>
    </row>
    <row r="991" spans="1:5" ht="15">
      <c r="A991" s="151"/>
      <c r="B991" s="347"/>
      <c r="C991" s="108"/>
      <c r="D991" s="108"/>
      <c r="E991" s="349"/>
    </row>
    <row r="992" spans="1:5" ht="15">
      <c r="A992" s="151"/>
      <c r="B992" s="347"/>
      <c r="C992" s="108"/>
      <c r="D992" s="108"/>
      <c r="E992" s="349"/>
    </row>
    <row r="993" spans="1:5" ht="15">
      <c r="A993" s="151"/>
      <c r="B993" s="347"/>
      <c r="C993" s="108"/>
      <c r="D993" s="108"/>
      <c r="E993" s="349"/>
    </row>
    <row r="994" spans="1:5" ht="15">
      <c r="A994" s="151"/>
      <c r="B994" s="347"/>
      <c r="C994" s="108"/>
      <c r="D994" s="108"/>
      <c r="E994" s="349"/>
    </row>
    <row r="995" spans="1:5" ht="15">
      <c r="A995" s="151"/>
      <c r="B995" s="347"/>
      <c r="C995" s="108"/>
      <c r="D995" s="108"/>
      <c r="E995" s="349"/>
    </row>
    <row r="996" spans="1:5" ht="15">
      <c r="A996" s="151"/>
      <c r="B996" s="347"/>
      <c r="C996" s="108"/>
      <c r="D996" s="108"/>
      <c r="E996" s="349"/>
    </row>
    <row r="997" spans="1:5" ht="15">
      <c r="A997" s="151"/>
      <c r="B997" s="347"/>
      <c r="C997" s="108"/>
      <c r="D997" s="108"/>
      <c r="E997" s="349"/>
    </row>
    <row r="998" spans="1:5" ht="15">
      <c r="A998" s="151"/>
      <c r="B998" s="347"/>
      <c r="C998" s="108"/>
      <c r="D998" s="108"/>
      <c r="E998" s="349"/>
    </row>
    <row r="999" spans="1:5" ht="15">
      <c r="A999" s="151"/>
      <c r="B999" s="347"/>
      <c r="C999" s="108"/>
      <c r="D999" s="108"/>
      <c r="E999" s="349"/>
    </row>
    <row r="1000" spans="1:5" ht="15">
      <c r="A1000" s="151"/>
      <c r="B1000" s="347"/>
      <c r="C1000" s="108"/>
      <c r="D1000" s="108"/>
      <c r="E1000" s="349"/>
    </row>
    <row r="1001" spans="1:5" ht="15">
      <c r="A1001" s="151"/>
      <c r="B1001" s="347"/>
      <c r="C1001" s="108"/>
      <c r="D1001" s="108"/>
      <c r="E1001" s="349"/>
    </row>
    <row r="1002" spans="1:5" ht="15">
      <c r="A1002" s="151"/>
      <c r="B1002" s="347"/>
      <c r="C1002" s="108"/>
      <c r="D1002" s="108"/>
      <c r="E1002" s="349"/>
    </row>
    <row r="1003" spans="1:5" ht="15">
      <c r="A1003" s="151"/>
      <c r="B1003" s="347"/>
      <c r="C1003" s="108"/>
      <c r="D1003" s="108"/>
      <c r="E1003" s="349"/>
    </row>
    <row r="1004" spans="1:5" ht="15">
      <c r="A1004" s="151"/>
      <c r="B1004" s="347"/>
      <c r="C1004" s="108"/>
      <c r="D1004" s="108"/>
      <c r="E1004" s="349"/>
    </row>
    <row r="1005" spans="1:5" ht="15">
      <c r="A1005" s="151"/>
      <c r="B1005" s="347"/>
      <c r="C1005" s="108"/>
      <c r="D1005" s="108"/>
      <c r="E1005" s="349"/>
    </row>
    <row r="1006" spans="1:5" ht="15">
      <c r="A1006" s="151"/>
      <c r="B1006" s="347"/>
      <c r="C1006" s="108"/>
      <c r="D1006" s="108"/>
      <c r="E1006" s="349"/>
    </row>
    <row r="1007" spans="1:5" ht="15">
      <c r="A1007" s="151"/>
      <c r="B1007" s="347"/>
      <c r="C1007" s="108"/>
      <c r="D1007" s="108"/>
      <c r="E1007" s="349"/>
    </row>
    <row r="1008" spans="1:5" ht="15">
      <c r="A1008" s="151"/>
      <c r="B1008" s="347"/>
      <c r="C1008" s="108"/>
      <c r="D1008" s="108"/>
      <c r="E1008" s="349"/>
    </row>
    <row r="1009" spans="1:5" ht="15">
      <c r="A1009" s="151"/>
      <c r="B1009" s="347"/>
      <c r="C1009" s="108"/>
      <c r="D1009" s="108"/>
      <c r="E1009" s="349"/>
    </row>
    <row r="1010" spans="1:5" ht="15">
      <c r="A1010" s="151"/>
      <c r="B1010" s="347"/>
      <c r="C1010" s="108"/>
      <c r="D1010" s="108"/>
      <c r="E1010" s="349"/>
    </row>
    <row r="1011" spans="1:5" ht="15">
      <c r="A1011" s="151"/>
      <c r="B1011" s="347"/>
      <c r="C1011" s="108"/>
      <c r="D1011" s="108"/>
      <c r="E1011" s="349"/>
    </row>
    <row r="1012" spans="1:5" ht="15">
      <c r="A1012" s="151"/>
      <c r="B1012" s="347"/>
      <c r="C1012" s="108"/>
      <c r="D1012" s="108"/>
      <c r="E1012" s="349"/>
    </row>
    <row r="1013" spans="1:5" ht="15">
      <c r="A1013" s="151"/>
      <c r="B1013" s="347"/>
      <c r="C1013" s="108"/>
      <c r="D1013" s="108"/>
      <c r="E1013" s="349"/>
    </row>
    <row r="1014" spans="1:5" ht="15">
      <c r="A1014" s="151"/>
      <c r="B1014" s="347"/>
      <c r="C1014" s="108"/>
      <c r="D1014" s="108"/>
      <c r="E1014" s="349"/>
    </row>
    <row r="1015" spans="1:5" ht="15">
      <c r="A1015" s="151"/>
      <c r="B1015" s="347"/>
      <c r="C1015" s="108"/>
      <c r="D1015" s="108"/>
      <c r="E1015" s="349"/>
    </row>
    <row r="1016" spans="1:5" ht="15">
      <c r="A1016" s="151"/>
      <c r="B1016" s="347"/>
      <c r="C1016" s="108"/>
      <c r="D1016" s="108"/>
      <c r="E1016" s="349"/>
    </row>
    <row r="1017" spans="1:5" ht="15">
      <c r="A1017" s="151"/>
      <c r="B1017" s="347"/>
      <c r="C1017" s="108"/>
      <c r="D1017" s="108"/>
      <c r="E1017" s="349"/>
    </row>
    <row r="1018" spans="1:5" ht="15">
      <c r="A1018" s="151"/>
      <c r="B1018" s="347"/>
      <c r="C1018" s="108"/>
      <c r="D1018" s="108"/>
      <c r="E1018" s="349"/>
    </row>
    <row r="1019" spans="1:5" ht="15">
      <c r="A1019" s="151"/>
      <c r="B1019" s="347"/>
      <c r="C1019" s="108"/>
      <c r="D1019" s="108"/>
      <c r="E1019" s="349"/>
    </row>
    <row r="1020" spans="1:5" ht="15">
      <c r="A1020" s="151"/>
      <c r="B1020" s="347"/>
      <c r="C1020" s="108"/>
      <c r="D1020" s="108"/>
      <c r="E1020" s="349"/>
    </row>
    <row r="1021" spans="1:5" ht="15">
      <c r="A1021" s="151"/>
      <c r="B1021" s="347"/>
      <c r="C1021" s="108"/>
      <c r="D1021" s="108"/>
      <c r="E1021" s="349"/>
    </row>
    <row r="1022" spans="1:5" ht="15">
      <c r="A1022" s="151"/>
      <c r="B1022" s="347"/>
      <c r="C1022" s="108"/>
      <c r="D1022" s="108"/>
      <c r="E1022" s="349"/>
    </row>
    <row r="1023" spans="1:5" ht="15">
      <c r="A1023" s="151"/>
      <c r="B1023" s="347"/>
      <c r="C1023" s="108"/>
      <c r="D1023" s="108"/>
      <c r="E1023" s="349"/>
    </row>
    <row r="1024" spans="1:5" ht="15">
      <c r="A1024" s="151"/>
      <c r="B1024" s="347"/>
      <c r="C1024" s="108"/>
      <c r="D1024" s="108"/>
      <c r="E1024" s="349"/>
    </row>
    <row r="1025" spans="1:5" ht="15">
      <c r="A1025" s="151"/>
      <c r="B1025" s="347"/>
      <c r="C1025" s="108"/>
      <c r="D1025" s="108"/>
      <c r="E1025" s="349"/>
    </row>
    <row r="1026" spans="1:5" ht="15">
      <c r="A1026" s="151"/>
      <c r="B1026" s="347"/>
      <c r="C1026" s="108"/>
      <c r="D1026" s="108"/>
      <c r="E1026" s="349"/>
    </row>
    <row r="1027" spans="1:5" ht="15">
      <c r="A1027" s="151"/>
      <c r="B1027" s="347"/>
      <c r="C1027" s="108"/>
      <c r="D1027" s="108"/>
      <c r="E1027" s="349"/>
    </row>
    <row r="1028" spans="1:5" ht="15">
      <c r="A1028" s="151"/>
      <c r="B1028" s="347"/>
      <c r="C1028" s="108"/>
      <c r="D1028" s="108"/>
      <c r="E1028" s="349"/>
    </row>
    <row r="1029" spans="1:5" ht="15">
      <c r="A1029" s="151"/>
      <c r="B1029" s="347"/>
      <c r="C1029" s="108"/>
      <c r="D1029" s="108"/>
      <c r="E1029" s="349"/>
    </row>
    <row r="1030" spans="1:5" ht="15">
      <c r="A1030" s="151"/>
      <c r="B1030" s="347"/>
      <c r="C1030" s="108"/>
      <c r="D1030" s="108"/>
      <c r="E1030" s="349"/>
    </row>
    <row r="1031" spans="1:5" ht="15">
      <c r="A1031" s="151"/>
      <c r="B1031" s="347"/>
      <c r="C1031" s="108"/>
      <c r="D1031" s="108"/>
      <c r="E1031" s="349"/>
    </row>
    <row r="1032" spans="1:5" ht="15">
      <c r="A1032" s="151"/>
      <c r="B1032" s="347"/>
      <c r="C1032" s="108"/>
      <c r="D1032" s="108"/>
      <c r="E1032" s="349"/>
    </row>
    <row r="1033" spans="1:5" ht="15">
      <c r="A1033" s="151"/>
      <c r="B1033" s="347"/>
      <c r="C1033" s="108"/>
      <c r="D1033" s="108"/>
      <c r="E1033" s="349"/>
    </row>
    <row r="1034" spans="1:5" ht="15">
      <c r="A1034" s="151"/>
      <c r="B1034" s="347"/>
      <c r="C1034" s="108"/>
      <c r="D1034" s="108"/>
      <c r="E1034" s="349"/>
    </row>
    <row r="1035" spans="1:5" ht="15">
      <c r="A1035" s="151"/>
      <c r="B1035" s="347"/>
      <c r="C1035" s="108"/>
      <c r="D1035" s="108"/>
      <c r="E1035" s="349"/>
    </row>
    <row r="1036" spans="1:5" ht="15">
      <c r="A1036" s="151"/>
      <c r="B1036" s="347"/>
      <c r="C1036" s="108"/>
      <c r="D1036" s="108"/>
      <c r="E1036" s="349"/>
    </row>
    <row r="1037" spans="1:5" ht="15">
      <c r="A1037" s="151"/>
      <c r="B1037" s="347"/>
      <c r="C1037" s="108"/>
      <c r="D1037" s="108"/>
      <c r="E1037" s="349"/>
    </row>
    <row r="1038" spans="1:5" ht="15">
      <c r="A1038" s="151"/>
      <c r="B1038" s="347"/>
      <c r="C1038" s="108"/>
      <c r="D1038" s="108"/>
      <c r="E1038" s="349"/>
    </row>
    <row r="1039" spans="1:5" ht="15">
      <c r="A1039" s="151"/>
      <c r="B1039" s="347"/>
      <c r="C1039" s="108"/>
      <c r="D1039" s="108"/>
      <c r="E1039" s="349"/>
    </row>
    <row r="1040" spans="1:5" ht="15">
      <c r="A1040" s="151"/>
      <c r="B1040" s="347"/>
      <c r="C1040" s="108"/>
      <c r="D1040" s="108"/>
      <c r="E1040" s="349"/>
    </row>
    <row r="1041" spans="1:5" ht="15">
      <c r="A1041" s="151"/>
      <c r="B1041" s="347"/>
      <c r="C1041" s="108"/>
      <c r="D1041" s="108"/>
      <c r="E1041" s="349"/>
    </row>
    <row r="1042" spans="1:5" ht="15">
      <c r="A1042" s="151"/>
      <c r="B1042" s="347"/>
      <c r="C1042" s="108"/>
      <c r="D1042" s="108"/>
      <c r="E1042" s="349"/>
    </row>
    <row r="1043" spans="1:5" ht="15">
      <c r="A1043" s="151"/>
      <c r="B1043" s="347"/>
      <c r="C1043" s="108"/>
      <c r="D1043" s="108"/>
      <c r="E1043" s="349"/>
    </row>
    <row r="1044" spans="1:5" ht="15">
      <c r="A1044" s="151"/>
      <c r="B1044" s="347"/>
      <c r="C1044" s="108"/>
      <c r="D1044" s="108"/>
      <c r="E1044" s="349"/>
    </row>
    <row r="1045" spans="1:5" ht="15">
      <c r="A1045" s="151"/>
      <c r="B1045" s="347"/>
      <c r="C1045" s="108"/>
      <c r="D1045" s="108"/>
      <c r="E1045" s="349"/>
    </row>
    <row r="1046" spans="1:5" ht="15">
      <c r="A1046" s="151"/>
      <c r="B1046" s="347"/>
      <c r="C1046" s="108"/>
      <c r="D1046" s="108"/>
      <c r="E1046" s="349"/>
    </row>
    <row r="1047" spans="1:5" ht="15">
      <c r="A1047" s="151"/>
      <c r="B1047" s="347"/>
      <c r="C1047" s="108"/>
      <c r="D1047" s="108"/>
      <c r="E1047" s="349"/>
    </row>
    <row r="1048" spans="1:5" ht="15">
      <c r="A1048" s="151"/>
      <c r="B1048" s="347"/>
      <c r="C1048" s="108"/>
      <c r="D1048" s="108"/>
      <c r="E1048" s="349"/>
    </row>
    <row r="1049" spans="1:5" ht="15">
      <c r="A1049" s="151"/>
      <c r="B1049" s="347"/>
      <c r="C1049" s="108"/>
      <c r="D1049" s="108"/>
      <c r="E1049" s="349"/>
    </row>
    <row r="1050" spans="1:5" ht="15">
      <c r="A1050" s="151"/>
      <c r="B1050" s="347"/>
      <c r="C1050" s="108"/>
      <c r="D1050" s="108"/>
      <c r="E1050" s="349"/>
    </row>
    <row r="1051" spans="1:5" ht="15">
      <c r="A1051" s="151"/>
      <c r="B1051" s="347"/>
      <c r="C1051" s="108"/>
      <c r="D1051" s="108"/>
      <c r="E1051" s="349"/>
    </row>
    <row r="1052" spans="1:5" ht="15">
      <c r="A1052" s="151"/>
      <c r="B1052" s="347"/>
      <c r="C1052" s="108"/>
      <c r="D1052" s="108"/>
      <c r="E1052" s="349"/>
    </row>
    <row r="1053" spans="1:5" ht="15">
      <c r="A1053" s="151"/>
      <c r="B1053" s="347"/>
      <c r="C1053" s="108"/>
      <c r="D1053" s="108"/>
      <c r="E1053" s="349"/>
    </row>
    <row r="1054" spans="1:5" ht="15">
      <c r="A1054" s="151"/>
      <c r="B1054" s="347"/>
      <c r="C1054" s="108"/>
      <c r="D1054" s="108"/>
      <c r="E1054" s="349"/>
    </row>
    <row r="1055" spans="1:5" ht="15">
      <c r="A1055" s="151"/>
      <c r="B1055" s="347"/>
      <c r="C1055" s="108"/>
      <c r="D1055" s="108"/>
      <c r="E1055" s="349"/>
    </row>
    <row r="1056" spans="1:5" ht="15">
      <c r="A1056" s="151"/>
      <c r="B1056" s="347"/>
      <c r="C1056" s="108"/>
      <c r="D1056" s="108"/>
      <c r="E1056" s="349"/>
    </row>
    <row r="1057" spans="1:5" ht="15">
      <c r="A1057" s="151"/>
      <c r="B1057" s="347"/>
      <c r="C1057" s="108"/>
      <c r="D1057" s="108"/>
      <c r="E1057" s="349"/>
    </row>
    <row r="1058" spans="1:5" ht="15">
      <c r="A1058" s="151"/>
      <c r="B1058" s="347"/>
      <c r="C1058" s="108"/>
      <c r="D1058" s="108"/>
      <c r="E1058" s="349"/>
    </row>
    <row r="1059" spans="1:5" ht="15">
      <c r="A1059" s="151"/>
      <c r="B1059" s="347"/>
      <c r="C1059" s="108"/>
      <c r="D1059" s="108"/>
      <c r="E1059" s="349"/>
    </row>
    <row r="1060" spans="1:5" ht="15">
      <c r="A1060" s="151"/>
      <c r="B1060" s="347"/>
      <c r="C1060" s="108"/>
      <c r="D1060" s="108"/>
      <c r="E1060" s="349"/>
    </row>
    <row r="1061" spans="1:5" ht="15">
      <c r="A1061" s="151"/>
      <c r="B1061" s="347"/>
      <c r="C1061" s="108"/>
      <c r="D1061" s="108"/>
      <c r="E1061" s="349"/>
    </row>
    <row r="1062" spans="1:5" ht="15">
      <c r="A1062" s="151"/>
      <c r="B1062" s="347"/>
      <c r="C1062" s="108"/>
      <c r="D1062" s="108"/>
      <c r="E1062" s="349"/>
    </row>
    <row r="1063" spans="1:5" ht="15">
      <c r="A1063" s="151"/>
      <c r="B1063" s="347"/>
      <c r="C1063" s="108"/>
      <c r="D1063" s="108"/>
      <c r="E1063" s="349"/>
    </row>
    <row r="1064" spans="1:5" ht="15">
      <c r="A1064" s="151"/>
      <c r="B1064" s="347"/>
      <c r="C1064" s="108"/>
      <c r="D1064" s="108"/>
      <c r="E1064" s="349"/>
    </row>
    <row r="1065" spans="1:5" ht="15">
      <c r="A1065" s="151"/>
      <c r="B1065" s="347"/>
      <c r="C1065" s="108"/>
      <c r="D1065" s="108"/>
      <c r="E1065" s="349"/>
    </row>
    <row r="1066" spans="1:5" ht="15">
      <c r="A1066" s="151"/>
      <c r="B1066" s="347"/>
      <c r="C1066" s="108"/>
      <c r="D1066" s="108"/>
      <c r="E1066" s="349"/>
    </row>
    <row r="1067" spans="1:5" ht="15">
      <c r="A1067" s="151"/>
      <c r="B1067" s="347"/>
      <c r="C1067" s="108"/>
      <c r="D1067" s="108"/>
      <c r="E1067" s="349"/>
    </row>
    <row r="1068" spans="1:5" ht="15">
      <c r="A1068" s="151"/>
      <c r="B1068" s="347"/>
      <c r="C1068" s="108"/>
      <c r="D1068" s="108"/>
      <c r="E1068" s="349"/>
    </row>
    <row r="1069" spans="1:5" ht="15">
      <c r="A1069" s="151"/>
      <c r="B1069" s="347"/>
      <c r="C1069" s="108"/>
      <c r="D1069" s="108"/>
      <c r="E1069" s="349"/>
    </row>
    <row r="1070" spans="1:5" ht="15">
      <c r="A1070" s="151"/>
      <c r="B1070" s="347"/>
      <c r="C1070" s="108"/>
      <c r="D1070" s="108"/>
      <c r="E1070" s="349"/>
    </row>
    <row r="1071" spans="1:5" ht="15">
      <c r="A1071" s="151"/>
      <c r="B1071" s="347"/>
      <c r="C1071" s="108"/>
      <c r="D1071" s="108"/>
      <c r="E1071" s="349"/>
    </row>
    <row r="1072" spans="1:5" ht="15">
      <c r="A1072" s="151"/>
      <c r="B1072" s="347"/>
      <c r="C1072" s="108"/>
      <c r="D1072" s="108"/>
      <c r="E1072" s="349"/>
    </row>
    <row r="1073" spans="1:5" ht="15">
      <c r="A1073" s="151"/>
      <c r="B1073" s="347"/>
      <c r="C1073" s="108"/>
      <c r="D1073" s="108"/>
      <c r="E1073" s="349"/>
    </row>
    <row r="1074" spans="1:5" ht="15">
      <c r="A1074" s="151"/>
      <c r="B1074" s="347"/>
      <c r="C1074" s="108"/>
      <c r="D1074" s="108"/>
      <c r="E1074" s="349"/>
    </row>
    <row r="1075" spans="1:5" ht="15">
      <c r="A1075" s="151"/>
      <c r="B1075" s="347"/>
      <c r="C1075" s="108"/>
      <c r="D1075" s="108"/>
      <c r="E1075" s="349"/>
    </row>
    <row r="1076" spans="1:5" ht="15">
      <c r="A1076" s="151"/>
      <c r="B1076" s="347"/>
      <c r="C1076" s="108"/>
      <c r="D1076" s="108"/>
      <c r="E1076" s="349"/>
    </row>
    <row r="1077" spans="1:5" ht="15">
      <c r="A1077" s="151"/>
      <c r="B1077" s="347"/>
      <c r="C1077" s="108"/>
      <c r="D1077" s="108"/>
      <c r="E1077" s="349"/>
    </row>
    <row r="1078" spans="1:5" ht="15">
      <c r="A1078" s="151"/>
      <c r="B1078" s="347"/>
      <c r="C1078" s="108"/>
      <c r="D1078" s="108"/>
      <c r="E1078" s="349"/>
    </row>
    <row r="1079" spans="1:5" ht="15">
      <c r="A1079" s="151"/>
      <c r="B1079" s="347"/>
      <c r="C1079" s="108"/>
      <c r="D1079" s="108"/>
      <c r="E1079" s="349"/>
    </row>
    <row r="1080" spans="1:5" ht="15">
      <c r="A1080" s="151"/>
      <c r="B1080" s="347"/>
      <c r="C1080" s="108"/>
      <c r="D1080" s="108"/>
      <c r="E1080" s="349"/>
    </row>
    <row r="1081" spans="1:5" ht="15">
      <c r="A1081" s="151"/>
      <c r="B1081" s="347"/>
      <c r="C1081" s="108"/>
      <c r="D1081" s="108"/>
      <c r="E1081" s="349"/>
    </row>
    <row r="1082" spans="1:5" ht="15">
      <c r="A1082" s="151"/>
      <c r="B1082" s="347"/>
      <c r="C1082" s="108"/>
      <c r="D1082" s="108"/>
      <c r="E1082" s="349"/>
    </row>
    <row r="1083" spans="1:5" ht="15">
      <c r="A1083" s="151"/>
      <c r="B1083" s="347"/>
      <c r="C1083" s="108"/>
      <c r="D1083" s="108"/>
      <c r="E1083" s="349"/>
    </row>
    <row r="1084" spans="1:5" ht="15">
      <c r="A1084" s="151"/>
      <c r="B1084" s="347"/>
      <c r="C1084" s="108"/>
      <c r="D1084" s="108"/>
      <c r="E1084" s="349"/>
    </row>
    <row r="1085" spans="1:5" ht="15">
      <c r="A1085" s="151"/>
      <c r="B1085" s="347"/>
      <c r="C1085" s="108"/>
      <c r="D1085" s="108"/>
      <c r="E1085" s="349"/>
    </row>
    <row r="1086" spans="1:5" ht="15">
      <c r="A1086" s="151"/>
      <c r="B1086" s="347"/>
      <c r="C1086" s="108"/>
      <c r="D1086" s="108"/>
      <c r="E1086" s="349"/>
    </row>
    <row r="1087" spans="1:5" ht="15">
      <c r="A1087" s="151"/>
      <c r="B1087" s="347"/>
      <c r="C1087" s="108"/>
      <c r="D1087" s="108"/>
      <c r="E1087" s="349"/>
    </row>
    <row r="1088" spans="1:5" ht="15">
      <c r="A1088" s="151"/>
      <c r="B1088" s="347"/>
      <c r="C1088" s="108"/>
      <c r="D1088" s="108"/>
      <c r="E1088" s="349"/>
    </row>
    <row r="1089" spans="1:5" ht="15">
      <c r="A1089" s="151"/>
      <c r="B1089" s="347"/>
      <c r="C1089" s="108"/>
      <c r="D1089" s="108"/>
      <c r="E1089" s="349"/>
    </row>
    <row r="1090" spans="1:5" ht="15">
      <c r="A1090" s="151"/>
      <c r="B1090" s="347"/>
      <c r="C1090" s="108"/>
      <c r="D1090" s="108"/>
      <c r="E1090" s="349"/>
    </row>
    <row r="1091" spans="1:5" ht="15">
      <c r="A1091" s="151"/>
      <c r="B1091" s="347"/>
      <c r="C1091" s="108"/>
      <c r="D1091" s="108"/>
      <c r="E1091" s="349"/>
    </row>
    <row r="1092" spans="1:5" ht="15">
      <c r="A1092" s="151"/>
      <c r="B1092" s="347"/>
      <c r="C1092" s="108"/>
      <c r="D1092" s="108"/>
      <c r="E1092" s="349"/>
    </row>
    <row r="1093" spans="1:5" ht="15">
      <c r="A1093" s="151"/>
      <c r="B1093" s="347"/>
      <c r="C1093" s="108"/>
      <c r="D1093" s="108"/>
      <c r="E1093" s="349"/>
    </row>
    <row r="1094" spans="1:5" ht="15">
      <c r="A1094" s="151"/>
      <c r="B1094" s="347"/>
      <c r="C1094" s="108"/>
      <c r="D1094" s="108"/>
      <c r="E1094" s="349"/>
    </row>
    <row r="1095" spans="1:5" ht="15">
      <c r="A1095" s="151"/>
      <c r="B1095" s="347"/>
      <c r="C1095" s="108"/>
      <c r="D1095" s="108"/>
      <c r="E1095" s="349"/>
    </row>
    <row r="1096" spans="1:5" ht="15">
      <c r="A1096" s="151"/>
      <c r="B1096" s="347"/>
      <c r="C1096" s="108"/>
      <c r="D1096" s="108"/>
      <c r="E1096" s="349"/>
    </row>
    <row r="1097" spans="1:5" ht="15">
      <c r="A1097" s="151"/>
      <c r="B1097" s="347"/>
      <c r="C1097" s="108"/>
      <c r="D1097" s="108"/>
      <c r="E1097" s="349"/>
    </row>
    <row r="1098" spans="1:5" ht="15">
      <c r="A1098" s="151"/>
      <c r="B1098" s="347"/>
      <c r="C1098" s="108"/>
      <c r="D1098" s="108"/>
      <c r="E1098" s="349"/>
    </row>
    <row r="1099" spans="1:5" ht="15">
      <c r="A1099" s="151"/>
      <c r="B1099" s="347"/>
      <c r="C1099" s="108"/>
      <c r="D1099" s="108"/>
      <c r="E1099" s="349"/>
    </row>
    <row r="1100" spans="1:5" ht="15">
      <c r="A1100" s="151"/>
      <c r="B1100" s="347"/>
      <c r="C1100" s="108"/>
      <c r="D1100" s="108"/>
      <c r="E1100" s="349"/>
    </row>
    <row r="1101" spans="1:5" ht="15">
      <c r="A1101" s="151"/>
      <c r="B1101" s="347"/>
      <c r="C1101" s="108"/>
      <c r="D1101" s="108"/>
      <c r="E1101" s="349"/>
    </row>
    <row r="1102" spans="1:5" ht="15">
      <c r="A1102" s="151"/>
      <c r="B1102" s="347"/>
      <c r="C1102" s="108"/>
      <c r="D1102" s="108"/>
      <c r="E1102" s="349"/>
    </row>
    <row r="1103" spans="1:5" ht="15">
      <c r="A1103" s="151"/>
      <c r="B1103" s="347"/>
      <c r="C1103" s="108"/>
      <c r="D1103" s="108"/>
      <c r="E1103" s="349"/>
    </row>
    <row r="1104" spans="1:5" ht="15">
      <c r="A1104" s="151"/>
      <c r="B1104" s="347"/>
      <c r="C1104" s="108"/>
      <c r="D1104" s="108"/>
      <c r="E1104" s="349"/>
    </row>
    <row r="1105" spans="1:5" ht="15">
      <c r="A1105" s="151"/>
      <c r="B1105" s="347"/>
      <c r="C1105" s="108"/>
      <c r="D1105" s="108"/>
      <c r="E1105" s="349"/>
    </row>
    <row r="1106" spans="1:5" ht="15">
      <c r="A1106" s="151"/>
      <c r="B1106" s="347"/>
      <c r="C1106" s="108"/>
      <c r="D1106" s="108"/>
      <c r="E1106" s="349"/>
    </row>
    <row r="1107" spans="1:5" ht="15">
      <c r="A1107" s="151"/>
      <c r="B1107" s="347"/>
      <c r="C1107" s="108"/>
      <c r="D1107" s="108"/>
      <c r="E1107" s="349"/>
    </row>
    <row r="1108" spans="1:5" ht="15">
      <c r="A1108" s="151"/>
      <c r="B1108" s="347"/>
      <c r="C1108" s="108"/>
      <c r="D1108" s="108"/>
      <c r="E1108" s="349"/>
    </row>
    <row r="1109" spans="1:5" ht="15">
      <c r="A1109" s="151"/>
      <c r="B1109" s="347"/>
      <c r="C1109" s="108"/>
      <c r="D1109" s="108"/>
      <c r="E1109" s="349"/>
    </row>
    <row r="1110" spans="1:5" ht="15">
      <c r="A1110" s="151"/>
      <c r="B1110" s="347"/>
      <c r="C1110" s="108"/>
      <c r="D1110" s="108"/>
      <c r="E1110" s="349"/>
    </row>
    <row r="1111" spans="1:5" ht="15">
      <c r="A1111" s="151"/>
      <c r="B1111" s="347"/>
      <c r="C1111" s="108"/>
      <c r="D1111" s="108"/>
      <c r="E1111" s="349"/>
    </row>
    <row r="1112" spans="1:5" ht="15">
      <c r="A1112" s="151"/>
      <c r="B1112" s="347"/>
      <c r="C1112" s="108"/>
      <c r="D1112" s="108"/>
      <c r="E1112" s="349"/>
    </row>
    <row r="1113" spans="1:5" ht="15">
      <c r="A1113" s="151"/>
      <c r="B1113" s="347"/>
      <c r="C1113" s="108"/>
      <c r="D1113" s="108"/>
      <c r="E1113" s="349"/>
    </row>
    <row r="1114" spans="1:5" ht="15">
      <c r="A1114" s="151"/>
      <c r="B1114" s="347"/>
      <c r="C1114" s="108"/>
      <c r="D1114" s="108"/>
      <c r="E1114" s="349"/>
    </row>
    <row r="1115" spans="1:5" ht="15">
      <c r="A1115" s="151"/>
      <c r="B1115" s="347"/>
      <c r="C1115" s="108"/>
      <c r="D1115" s="108"/>
      <c r="E1115" s="349"/>
    </row>
    <row r="1116" spans="1:5" ht="15">
      <c r="A1116" s="151"/>
      <c r="B1116" s="347"/>
      <c r="C1116" s="108"/>
      <c r="D1116" s="108"/>
      <c r="E1116" s="349"/>
    </row>
    <row r="1117" spans="1:5" ht="15">
      <c r="A1117" s="151"/>
      <c r="B1117" s="347"/>
      <c r="C1117" s="108"/>
      <c r="D1117" s="108"/>
      <c r="E1117" s="349"/>
    </row>
    <row r="1118" spans="1:5" ht="15">
      <c r="A1118" s="151"/>
      <c r="B1118" s="347"/>
      <c r="C1118" s="108"/>
      <c r="D1118" s="108"/>
      <c r="E1118" s="349"/>
    </row>
    <row r="1119" spans="1:5" ht="15">
      <c r="A1119" s="151"/>
      <c r="B1119" s="347"/>
      <c r="C1119" s="108"/>
      <c r="D1119" s="108"/>
      <c r="E1119" s="349"/>
    </row>
    <row r="1120" spans="1:5" ht="15">
      <c r="A1120" s="151"/>
      <c r="B1120" s="347"/>
      <c r="C1120" s="108"/>
      <c r="D1120" s="108"/>
      <c r="E1120" s="349"/>
    </row>
    <row r="1121" spans="1:5" ht="15">
      <c r="A1121" s="151"/>
      <c r="B1121" s="347"/>
      <c r="C1121" s="108"/>
      <c r="D1121" s="108"/>
      <c r="E1121" s="349"/>
    </row>
    <row r="1122" spans="1:5" ht="15">
      <c r="A1122" s="151"/>
      <c r="B1122" s="347"/>
      <c r="C1122" s="108"/>
      <c r="D1122" s="108"/>
      <c r="E1122" s="349"/>
    </row>
    <row r="1123" spans="1:5" ht="15">
      <c r="A1123" s="151"/>
      <c r="B1123" s="347"/>
      <c r="C1123" s="108"/>
      <c r="D1123" s="108"/>
      <c r="E1123" s="349"/>
    </row>
    <row r="1124" spans="1:5" ht="15">
      <c r="A1124" s="151"/>
      <c r="B1124" s="347"/>
      <c r="C1124" s="108"/>
      <c r="D1124" s="108"/>
      <c r="E1124" s="349"/>
    </row>
    <row r="1125" spans="1:5" ht="15">
      <c r="A1125" s="151"/>
      <c r="B1125" s="347"/>
      <c r="C1125" s="108"/>
      <c r="D1125" s="108"/>
      <c r="E1125" s="349"/>
    </row>
    <row r="1126" spans="1:5" ht="15">
      <c r="A1126" s="151"/>
      <c r="B1126" s="347"/>
      <c r="C1126" s="108"/>
      <c r="D1126" s="108"/>
      <c r="E1126" s="349"/>
    </row>
    <row r="1127" spans="1:5" ht="15">
      <c r="A1127" s="151"/>
      <c r="B1127" s="347"/>
      <c r="C1127" s="108"/>
      <c r="D1127" s="108"/>
      <c r="E1127" s="349"/>
    </row>
    <row r="1128" spans="1:5" ht="15">
      <c r="A1128" s="151"/>
      <c r="B1128" s="347"/>
      <c r="C1128" s="108"/>
      <c r="D1128" s="108"/>
      <c r="E1128" s="349"/>
    </row>
    <row r="1129" spans="1:5" ht="15">
      <c r="A1129" s="151"/>
      <c r="B1129" s="347"/>
      <c r="C1129" s="108"/>
      <c r="D1129" s="108"/>
      <c r="E1129" s="349"/>
    </row>
    <row r="1130" spans="1:5" ht="15">
      <c r="A1130" s="151"/>
      <c r="B1130" s="347"/>
      <c r="C1130" s="108"/>
      <c r="D1130" s="108"/>
      <c r="E1130" s="349"/>
    </row>
    <row r="1131" spans="1:5" ht="15">
      <c r="A1131" s="151"/>
      <c r="B1131" s="347"/>
      <c r="C1131" s="108"/>
      <c r="D1131" s="108"/>
      <c r="E1131" s="349"/>
    </row>
    <row r="1132" spans="1:5" ht="15">
      <c r="A1132" s="151"/>
      <c r="B1132" s="347"/>
      <c r="C1132" s="108"/>
      <c r="D1132" s="108"/>
      <c r="E1132" s="349"/>
    </row>
    <row r="1133" spans="1:5" ht="15">
      <c r="A1133" s="151"/>
      <c r="B1133" s="347"/>
      <c r="C1133" s="108"/>
      <c r="D1133" s="108"/>
      <c r="E1133" s="349"/>
    </row>
    <row r="1134" spans="1:5" ht="15">
      <c r="A1134" s="151"/>
      <c r="B1134" s="347"/>
      <c r="C1134" s="108"/>
      <c r="D1134" s="108"/>
      <c r="E1134" s="349"/>
    </row>
    <row r="1135" spans="1:5" ht="15">
      <c r="A1135" s="151"/>
      <c r="B1135" s="347"/>
      <c r="C1135" s="108"/>
      <c r="D1135" s="108"/>
      <c r="E1135" s="349"/>
    </row>
    <row r="1136" spans="1:5" ht="15">
      <c r="A1136" s="151"/>
      <c r="B1136" s="347"/>
      <c r="C1136" s="108"/>
      <c r="D1136" s="108"/>
      <c r="E1136" s="349"/>
    </row>
    <row r="1137" spans="1:5" ht="15">
      <c r="A1137" s="151"/>
      <c r="B1137" s="347"/>
      <c r="C1137" s="108"/>
      <c r="D1137" s="108"/>
      <c r="E1137" s="349"/>
    </row>
    <row r="1138" spans="1:5" ht="15">
      <c r="A1138" s="151"/>
      <c r="B1138" s="347"/>
      <c r="C1138" s="108"/>
      <c r="D1138" s="108"/>
      <c r="E1138" s="349"/>
    </row>
    <row r="1139" spans="1:5" ht="15">
      <c r="A1139" s="151"/>
      <c r="B1139" s="347"/>
      <c r="C1139" s="108"/>
      <c r="D1139" s="108"/>
      <c r="E1139" s="349"/>
    </row>
    <row r="1140" spans="1:5" ht="15">
      <c r="A1140" s="151"/>
      <c r="B1140" s="347"/>
      <c r="C1140" s="108"/>
      <c r="D1140" s="108"/>
      <c r="E1140" s="349"/>
    </row>
    <row r="1141" spans="1:5" ht="15">
      <c r="A1141" s="151"/>
      <c r="B1141" s="347"/>
      <c r="C1141" s="108"/>
      <c r="D1141" s="108"/>
      <c r="E1141" s="349"/>
    </row>
    <row r="1142" spans="1:5" ht="15">
      <c r="A1142" s="151"/>
      <c r="B1142" s="347"/>
      <c r="C1142" s="108"/>
      <c r="D1142" s="108"/>
      <c r="E1142" s="349"/>
    </row>
    <row r="1143" spans="1:5" ht="15">
      <c r="A1143" s="151"/>
      <c r="B1143" s="347"/>
      <c r="C1143" s="108"/>
      <c r="D1143" s="108"/>
      <c r="E1143" s="349"/>
    </row>
    <row r="1144" spans="1:5" ht="15">
      <c r="A1144" s="151"/>
      <c r="B1144" s="347"/>
      <c r="C1144" s="108"/>
      <c r="D1144" s="108"/>
      <c r="E1144" s="349"/>
    </row>
    <row r="1145" spans="1:5" ht="15">
      <c r="A1145" s="151"/>
      <c r="B1145" s="347"/>
      <c r="C1145" s="108"/>
      <c r="D1145" s="108"/>
      <c r="E1145" s="349"/>
    </row>
    <row r="1146" spans="1:5" ht="15">
      <c r="A1146" s="151"/>
      <c r="B1146" s="347"/>
      <c r="C1146" s="108"/>
      <c r="D1146" s="108"/>
      <c r="E1146" s="349"/>
    </row>
    <row r="1147" spans="1:5" ht="15">
      <c r="A1147" s="151"/>
      <c r="B1147" s="347"/>
      <c r="C1147" s="108"/>
      <c r="D1147" s="108"/>
      <c r="E1147" s="349"/>
    </row>
    <row r="1148" spans="1:5" ht="15">
      <c r="A1148" s="151"/>
      <c r="B1148" s="347"/>
      <c r="C1148" s="108"/>
      <c r="D1148" s="108"/>
      <c r="E1148" s="349"/>
    </row>
    <row r="1149" spans="1:5" ht="15">
      <c r="A1149" s="151"/>
      <c r="B1149" s="347"/>
      <c r="C1149" s="108"/>
      <c r="D1149" s="108"/>
      <c r="E1149" s="349"/>
    </row>
    <row r="1150" spans="1:5" ht="15">
      <c r="A1150" s="151"/>
      <c r="B1150" s="347"/>
      <c r="C1150" s="108"/>
      <c r="D1150" s="108"/>
      <c r="E1150" s="349"/>
    </row>
    <row r="1151" spans="1:5" ht="15">
      <c r="A1151" s="151"/>
      <c r="B1151" s="347"/>
      <c r="C1151" s="108"/>
      <c r="D1151" s="108"/>
      <c r="E1151" s="349"/>
    </row>
    <row r="1152" spans="1:5" ht="15">
      <c r="A1152" s="151"/>
      <c r="B1152" s="347"/>
      <c r="C1152" s="108"/>
      <c r="D1152" s="108"/>
      <c r="E1152" s="349"/>
    </row>
    <row r="1153" spans="1:5" ht="15">
      <c r="A1153" s="151"/>
      <c r="B1153" s="347"/>
      <c r="C1153" s="108"/>
      <c r="D1153" s="108"/>
      <c r="E1153" s="349"/>
    </row>
    <row r="1154" spans="1:5" ht="15">
      <c r="A1154" s="151"/>
      <c r="B1154" s="347"/>
      <c r="C1154" s="108"/>
      <c r="D1154" s="108"/>
      <c r="E1154" s="349"/>
    </row>
    <row r="1155" spans="1:5" ht="15">
      <c r="A1155" s="151"/>
      <c r="B1155" s="347"/>
      <c r="C1155" s="108"/>
      <c r="D1155" s="108"/>
      <c r="E1155" s="349"/>
    </row>
    <row r="1156" spans="1:5" ht="15">
      <c r="A1156" s="151"/>
      <c r="B1156" s="347"/>
      <c r="C1156" s="108"/>
      <c r="D1156" s="108"/>
      <c r="E1156" s="349"/>
    </row>
    <row r="1157" spans="1:5" ht="15">
      <c r="A1157" s="151"/>
      <c r="B1157" s="347"/>
      <c r="C1157" s="108"/>
      <c r="D1157" s="108"/>
      <c r="E1157" s="349"/>
    </row>
    <row r="1158" spans="1:5" ht="15">
      <c r="A1158" s="151"/>
      <c r="B1158" s="347"/>
      <c r="C1158" s="108"/>
      <c r="D1158" s="108"/>
      <c r="E1158" s="349"/>
    </row>
    <row r="1159" spans="1:5" ht="15">
      <c r="A1159" s="151"/>
      <c r="B1159" s="347"/>
      <c r="C1159" s="108"/>
      <c r="D1159" s="108"/>
      <c r="E1159" s="349"/>
    </row>
    <row r="1160" spans="1:5" ht="15">
      <c r="A1160" s="151"/>
      <c r="B1160" s="347"/>
      <c r="C1160" s="108"/>
      <c r="D1160" s="108"/>
      <c r="E1160" s="349"/>
    </row>
    <row r="1161" spans="1:5" ht="15">
      <c r="A1161" s="151"/>
      <c r="B1161" s="347"/>
      <c r="C1161" s="108"/>
      <c r="D1161" s="108"/>
      <c r="E1161" s="349"/>
    </row>
    <row r="1162" spans="1:5" ht="15">
      <c r="A1162" s="151"/>
      <c r="B1162" s="347"/>
      <c r="C1162" s="108"/>
      <c r="D1162" s="108"/>
      <c r="E1162" s="349"/>
    </row>
    <row r="1163" spans="1:5" ht="15">
      <c r="A1163" s="151"/>
      <c r="B1163" s="347"/>
      <c r="C1163" s="108"/>
      <c r="D1163" s="108"/>
      <c r="E1163" s="349"/>
    </row>
    <row r="1164" spans="1:5" ht="15">
      <c r="A1164" s="151"/>
      <c r="B1164" s="347"/>
      <c r="C1164" s="108"/>
      <c r="D1164" s="108"/>
      <c r="E1164" s="349"/>
    </row>
    <row r="1165" spans="1:5" ht="15">
      <c r="A1165" s="151"/>
      <c r="B1165" s="347"/>
      <c r="C1165" s="108"/>
      <c r="D1165" s="108"/>
      <c r="E1165" s="349"/>
    </row>
    <row r="1166" spans="1:5" ht="15">
      <c r="A1166" s="151"/>
      <c r="B1166" s="347"/>
      <c r="C1166" s="108"/>
      <c r="D1166" s="108"/>
      <c r="E1166" s="349"/>
    </row>
    <row r="1167" spans="1:5" ht="15">
      <c r="A1167" s="151"/>
      <c r="B1167" s="347"/>
      <c r="C1167" s="108"/>
      <c r="D1167" s="108"/>
      <c r="E1167" s="349"/>
    </row>
    <row r="1168" spans="1:5" ht="15">
      <c r="A1168" s="151"/>
      <c r="B1168" s="347"/>
      <c r="C1168" s="108"/>
      <c r="D1168" s="108"/>
      <c r="E1168" s="349"/>
    </row>
    <row r="1169" spans="1:5" ht="15">
      <c r="A1169" s="151"/>
      <c r="B1169" s="347"/>
      <c r="C1169" s="108"/>
      <c r="D1169" s="108"/>
      <c r="E1169" s="349"/>
    </row>
    <row r="1170" spans="1:5" ht="15">
      <c r="A1170" s="151"/>
      <c r="B1170" s="347"/>
      <c r="C1170" s="108"/>
      <c r="D1170" s="108"/>
      <c r="E1170" s="349"/>
    </row>
    <row r="1171" spans="1:5" ht="15">
      <c r="A1171" s="151"/>
      <c r="B1171" s="347"/>
      <c r="C1171" s="108"/>
      <c r="D1171" s="108"/>
      <c r="E1171" s="349"/>
    </row>
    <row r="1172" spans="1:5" ht="15">
      <c r="A1172" s="151"/>
      <c r="B1172" s="347"/>
      <c r="C1172" s="108"/>
      <c r="D1172" s="108"/>
      <c r="E1172" s="349"/>
    </row>
    <row r="1173" spans="1:5" ht="15">
      <c r="A1173" s="151"/>
      <c r="B1173" s="347"/>
      <c r="C1173" s="108"/>
      <c r="D1173" s="108"/>
      <c r="E1173" s="349"/>
    </row>
    <row r="1174" spans="1:5" ht="15">
      <c r="A1174" s="151"/>
      <c r="B1174" s="347"/>
      <c r="C1174" s="108"/>
      <c r="D1174" s="108"/>
      <c r="E1174" s="349"/>
    </row>
    <row r="1175" spans="1:5" ht="15">
      <c r="A1175" s="151"/>
      <c r="B1175" s="347"/>
      <c r="C1175" s="108"/>
      <c r="D1175" s="108"/>
      <c r="E1175" s="349"/>
    </row>
    <row r="1176" spans="1:5" ht="15">
      <c r="A1176" s="151"/>
      <c r="B1176" s="347"/>
      <c r="C1176" s="108"/>
      <c r="D1176" s="108"/>
      <c r="E1176" s="349"/>
    </row>
    <row r="1177" spans="1:5" ht="15">
      <c r="A1177" s="151"/>
      <c r="B1177" s="347"/>
      <c r="C1177" s="108"/>
      <c r="D1177" s="108"/>
      <c r="E1177" s="349"/>
    </row>
    <row r="1178" spans="1:5" ht="15">
      <c r="A1178" s="151"/>
      <c r="B1178" s="347"/>
      <c r="C1178" s="108"/>
      <c r="D1178" s="108"/>
      <c r="E1178" s="349"/>
    </row>
    <row r="1179" spans="1:5" ht="15">
      <c r="A1179" s="151"/>
      <c r="B1179" s="347"/>
      <c r="C1179" s="108"/>
      <c r="D1179" s="108"/>
      <c r="E1179" s="349"/>
    </row>
    <row r="1180" spans="1:5" ht="15">
      <c r="A1180" s="151"/>
      <c r="B1180" s="347"/>
      <c r="C1180" s="108"/>
      <c r="D1180" s="108"/>
      <c r="E1180" s="349"/>
    </row>
    <row r="1181" spans="1:5" ht="15">
      <c r="A1181" s="151"/>
      <c r="B1181" s="347"/>
      <c r="C1181" s="108"/>
      <c r="D1181" s="108"/>
      <c r="E1181" s="349"/>
    </row>
    <row r="1182" spans="1:5" ht="15">
      <c r="A1182" s="151"/>
      <c r="B1182" s="347"/>
      <c r="C1182" s="108"/>
      <c r="D1182" s="108"/>
      <c r="E1182" s="349"/>
    </row>
    <row r="1183" spans="1:5" ht="15">
      <c r="A1183" s="151"/>
      <c r="B1183" s="347"/>
      <c r="C1183" s="108"/>
      <c r="D1183" s="108"/>
      <c r="E1183" s="349"/>
    </row>
    <row r="1184" spans="1:5" ht="15">
      <c r="A1184" s="151"/>
      <c r="B1184" s="347"/>
      <c r="C1184" s="108"/>
      <c r="D1184" s="108"/>
      <c r="E1184" s="349"/>
    </row>
    <row r="1185" spans="1:5" ht="15">
      <c r="A1185" s="151"/>
      <c r="B1185" s="347"/>
      <c r="C1185" s="108"/>
      <c r="D1185" s="108"/>
      <c r="E1185" s="349"/>
    </row>
    <row r="1186" spans="1:5" ht="15">
      <c r="A1186" s="151"/>
      <c r="B1186" s="347"/>
      <c r="C1186" s="108"/>
      <c r="D1186" s="108"/>
      <c r="E1186" s="349"/>
    </row>
    <row r="1187" spans="1:5" ht="15">
      <c r="A1187" s="151"/>
      <c r="B1187" s="347"/>
      <c r="C1187" s="108"/>
      <c r="D1187" s="108"/>
      <c r="E1187" s="349"/>
    </row>
    <row r="1188" spans="1:5" ht="15">
      <c r="A1188" s="151"/>
      <c r="B1188" s="347"/>
      <c r="C1188" s="108"/>
      <c r="D1188" s="108"/>
      <c r="E1188" s="349"/>
    </row>
    <row r="1189" spans="1:5" ht="15">
      <c r="A1189" s="151"/>
      <c r="B1189" s="347"/>
      <c r="C1189" s="108"/>
      <c r="D1189" s="108"/>
      <c r="E1189" s="349"/>
    </row>
    <row r="1190" spans="1:5" ht="15">
      <c r="A1190" s="151"/>
      <c r="B1190" s="347"/>
      <c r="C1190" s="108"/>
      <c r="D1190" s="108"/>
      <c r="E1190" s="349"/>
    </row>
    <row r="1191" spans="1:5" ht="15">
      <c r="A1191" s="151"/>
      <c r="B1191" s="347"/>
      <c r="C1191" s="108"/>
      <c r="D1191" s="108"/>
      <c r="E1191" s="349"/>
    </row>
    <row r="1192" spans="1:5" ht="15">
      <c r="A1192" s="151"/>
      <c r="B1192" s="347"/>
      <c r="C1192" s="108"/>
      <c r="D1192" s="108"/>
      <c r="E1192" s="349"/>
    </row>
    <row r="1193" spans="1:5" ht="15">
      <c r="A1193" s="151"/>
      <c r="B1193" s="347"/>
      <c r="C1193" s="108"/>
      <c r="D1193" s="108"/>
      <c r="E1193" s="349"/>
    </row>
    <row r="1194" spans="1:5" ht="15">
      <c r="A1194" s="151"/>
      <c r="B1194" s="347"/>
      <c r="C1194" s="108"/>
      <c r="D1194" s="108"/>
      <c r="E1194" s="349"/>
    </row>
    <row r="1195" spans="1:5" ht="15">
      <c r="A1195" s="151"/>
      <c r="B1195" s="347"/>
      <c r="C1195" s="108"/>
      <c r="D1195" s="108"/>
      <c r="E1195" s="349"/>
    </row>
    <row r="1196" spans="1:5" ht="15">
      <c r="A1196" s="151"/>
      <c r="B1196" s="347"/>
      <c r="C1196" s="108"/>
      <c r="D1196" s="108"/>
      <c r="E1196" s="349"/>
    </row>
    <row r="1197" spans="1:5" ht="15">
      <c r="A1197" s="151"/>
      <c r="B1197" s="347"/>
      <c r="C1197" s="108"/>
      <c r="D1197" s="108"/>
      <c r="E1197" s="349"/>
    </row>
    <row r="1198" spans="1:5" ht="15">
      <c r="A1198" s="151"/>
      <c r="B1198" s="347"/>
      <c r="C1198" s="108"/>
      <c r="D1198" s="108"/>
      <c r="E1198" s="349"/>
    </row>
    <row r="1199" spans="1:5" ht="15">
      <c r="A1199" s="151"/>
      <c r="B1199" s="347"/>
      <c r="C1199" s="108"/>
      <c r="D1199" s="108"/>
      <c r="E1199" s="349"/>
    </row>
    <row r="1200" spans="1:5" ht="15">
      <c r="A1200" s="151"/>
      <c r="B1200" s="347"/>
      <c r="C1200" s="108"/>
      <c r="D1200" s="108"/>
      <c r="E1200" s="349"/>
    </row>
    <row r="1201" spans="1:5" ht="15">
      <c r="A1201" s="151"/>
      <c r="B1201" s="347"/>
      <c r="C1201" s="108"/>
      <c r="D1201" s="108"/>
      <c r="E1201" s="349"/>
    </row>
    <row r="1202" spans="1:5" ht="15">
      <c r="A1202" s="151"/>
      <c r="B1202" s="347"/>
      <c r="C1202" s="108"/>
      <c r="D1202" s="108"/>
      <c r="E1202" s="349"/>
    </row>
    <row r="1203" spans="1:5" ht="15">
      <c r="A1203" s="151"/>
      <c r="B1203" s="347"/>
      <c r="C1203" s="108"/>
      <c r="D1203" s="108"/>
      <c r="E1203" s="349"/>
    </row>
    <row r="1204" spans="1:5" ht="15">
      <c r="A1204" s="151"/>
      <c r="B1204" s="347"/>
      <c r="C1204" s="108"/>
      <c r="D1204" s="108"/>
      <c r="E1204" s="349"/>
    </row>
    <row r="1205" spans="1:5" ht="15">
      <c r="A1205" s="151"/>
      <c r="B1205" s="347"/>
      <c r="C1205" s="108"/>
      <c r="D1205" s="108"/>
      <c r="E1205" s="349"/>
    </row>
    <row r="1206" spans="1:5" ht="15">
      <c r="A1206" s="151"/>
      <c r="B1206" s="347"/>
      <c r="C1206" s="108"/>
      <c r="D1206" s="108"/>
      <c r="E1206" s="349"/>
    </row>
    <row r="1207" spans="1:5" ht="15">
      <c r="A1207" s="151"/>
      <c r="B1207" s="347"/>
      <c r="C1207" s="108"/>
      <c r="D1207" s="108"/>
      <c r="E1207" s="349"/>
    </row>
    <row r="1208" spans="1:5" ht="15">
      <c r="A1208" s="151"/>
      <c r="B1208" s="347"/>
      <c r="C1208" s="108"/>
      <c r="D1208" s="108"/>
      <c r="E1208" s="349"/>
    </row>
    <row r="1209" spans="1:5" ht="15">
      <c r="A1209" s="151"/>
      <c r="B1209" s="347"/>
      <c r="C1209" s="108"/>
      <c r="D1209" s="108"/>
      <c r="E1209" s="349"/>
    </row>
    <row r="1210" spans="1:5" ht="15">
      <c r="A1210" s="151"/>
      <c r="B1210" s="347"/>
      <c r="C1210" s="108"/>
      <c r="D1210" s="108"/>
      <c r="E1210" s="349"/>
    </row>
    <row r="1211" spans="1:5" ht="15">
      <c r="A1211" s="151"/>
      <c r="B1211" s="347"/>
      <c r="C1211" s="108"/>
      <c r="D1211" s="108"/>
      <c r="E1211" s="349"/>
    </row>
    <row r="1212" spans="1:5" ht="15">
      <c r="A1212" s="151"/>
      <c r="B1212" s="347"/>
      <c r="C1212" s="108"/>
      <c r="D1212" s="108"/>
      <c r="E1212" s="349"/>
    </row>
    <row r="1213" spans="1:5" ht="15">
      <c r="A1213" s="151"/>
      <c r="B1213" s="347"/>
      <c r="C1213" s="108"/>
      <c r="D1213" s="108"/>
      <c r="E1213" s="349"/>
    </row>
    <row r="1214" spans="1:5" ht="15">
      <c r="A1214" s="151"/>
      <c r="B1214" s="347"/>
      <c r="C1214" s="108"/>
      <c r="D1214" s="108"/>
      <c r="E1214" s="349"/>
    </row>
    <row r="1215" spans="1:5" ht="15">
      <c r="A1215" s="151"/>
      <c r="B1215" s="347"/>
      <c r="C1215" s="108"/>
      <c r="D1215" s="108"/>
      <c r="E1215" s="349"/>
    </row>
    <row r="1216" spans="1:5" ht="15">
      <c r="A1216" s="151"/>
      <c r="B1216" s="347"/>
      <c r="C1216" s="108"/>
      <c r="D1216" s="108"/>
      <c r="E1216" s="349"/>
    </row>
    <row r="1217" spans="1:5" ht="15">
      <c r="A1217" s="151"/>
      <c r="B1217" s="347"/>
      <c r="C1217" s="108"/>
      <c r="D1217" s="108"/>
      <c r="E1217" s="349"/>
    </row>
    <row r="1218" spans="1:5" ht="15">
      <c r="A1218" s="151"/>
      <c r="B1218" s="347"/>
      <c r="C1218" s="108"/>
      <c r="D1218" s="108"/>
      <c r="E1218" s="349"/>
    </row>
    <row r="1219" spans="1:5" ht="15">
      <c r="A1219" s="151"/>
      <c r="B1219" s="347"/>
      <c r="C1219" s="108"/>
      <c r="D1219" s="108"/>
      <c r="E1219" s="349"/>
    </row>
    <row r="1220" spans="1:5" ht="15">
      <c r="A1220" s="151"/>
      <c r="B1220" s="347"/>
      <c r="C1220" s="108"/>
      <c r="D1220" s="108"/>
      <c r="E1220" s="349"/>
    </row>
    <row r="1221" spans="1:5" ht="15">
      <c r="A1221" s="151"/>
      <c r="B1221" s="347"/>
      <c r="C1221" s="108"/>
      <c r="D1221" s="108"/>
      <c r="E1221" s="349"/>
    </row>
    <row r="1222" spans="1:5" ht="15">
      <c r="A1222" s="151"/>
      <c r="B1222" s="347"/>
      <c r="C1222" s="108"/>
      <c r="D1222" s="108"/>
      <c r="E1222" s="349"/>
    </row>
    <row r="1223" spans="1:5" ht="15">
      <c r="A1223" s="151"/>
      <c r="B1223" s="347"/>
      <c r="C1223" s="108"/>
      <c r="D1223" s="108"/>
      <c r="E1223" s="349"/>
    </row>
    <row r="1224" spans="1:5" ht="15">
      <c r="A1224" s="151"/>
      <c r="B1224" s="347"/>
      <c r="C1224" s="108"/>
      <c r="D1224" s="108"/>
      <c r="E1224" s="349"/>
    </row>
    <row r="1225" spans="1:5" ht="15">
      <c r="A1225" s="151"/>
      <c r="B1225" s="347"/>
      <c r="C1225" s="108"/>
      <c r="D1225" s="108"/>
      <c r="E1225" s="349"/>
    </row>
    <row r="1226" spans="1:5" ht="15">
      <c r="A1226" s="151"/>
      <c r="B1226" s="347"/>
      <c r="C1226" s="108"/>
      <c r="D1226" s="108"/>
      <c r="E1226" s="349"/>
    </row>
    <row r="1227" spans="1:5" ht="15">
      <c r="A1227" s="151"/>
      <c r="B1227" s="347"/>
      <c r="C1227" s="108"/>
      <c r="D1227" s="108"/>
      <c r="E1227" s="349"/>
    </row>
    <row r="1228" spans="1:5" ht="15">
      <c r="A1228" s="151"/>
      <c r="B1228" s="347"/>
      <c r="C1228" s="108"/>
      <c r="D1228" s="108"/>
      <c r="E1228" s="349"/>
    </row>
    <row r="1229" spans="1:5" ht="15">
      <c r="A1229" s="151"/>
      <c r="B1229" s="347"/>
      <c r="C1229" s="108"/>
      <c r="D1229" s="108"/>
      <c r="E1229" s="349"/>
    </row>
    <row r="1230" spans="1:5" ht="15">
      <c r="A1230" s="151"/>
      <c r="B1230" s="347"/>
      <c r="C1230" s="108"/>
      <c r="D1230" s="108"/>
      <c r="E1230" s="349"/>
    </row>
    <row r="1231" spans="1:5" ht="15">
      <c r="A1231" s="151"/>
      <c r="B1231" s="347"/>
      <c r="C1231" s="108"/>
      <c r="D1231" s="108"/>
      <c r="E1231" s="349"/>
    </row>
    <row r="1232" spans="1:5" ht="15">
      <c r="A1232" s="151"/>
      <c r="B1232" s="347"/>
      <c r="C1232" s="108"/>
      <c r="D1232" s="108"/>
      <c r="E1232" s="349"/>
    </row>
    <row r="1233" spans="1:5" ht="15">
      <c r="A1233" s="151"/>
      <c r="B1233" s="347"/>
      <c r="C1233" s="108"/>
      <c r="D1233" s="108"/>
      <c r="E1233" s="349"/>
    </row>
    <row r="1234" spans="1:5" ht="15">
      <c r="A1234" s="151"/>
      <c r="B1234" s="347"/>
      <c r="C1234" s="108"/>
      <c r="D1234" s="108"/>
      <c r="E1234" s="349"/>
    </row>
    <row r="1235" spans="1:5" ht="15">
      <c r="A1235" s="151"/>
      <c r="B1235" s="347"/>
      <c r="C1235" s="108"/>
      <c r="D1235" s="108"/>
      <c r="E1235" s="349"/>
    </row>
    <row r="1236" spans="1:5" ht="15">
      <c r="A1236" s="151"/>
      <c r="B1236" s="347"/>
      <c r="C1236" s="108"/>
      <c r="D1236" s="108"/>
      <c r="E1236" s="349"/>
    </row>
    <row r="1237" spans="1:5" ht="15">
      <c r="A1237" s="151"/>
      <c r="B1237" s="347"/>
      <c r="C1237" s="108"/>
      <c r="D1237" s="108"/>
      <c r="E1237" s="349"/>
    </row>
    <row r="1238" spans="1:5" ht="15">
      <c r="A1238" s="151"/>
      <c r="B1238" s="347"/>
      <c r="C1238" s="108"/>
      <c r="D1238" s="108"/>
      <c r="E1238" s="349"/>
    </row>
    <row r="1239" spans="1:5" ht="15">
      <c r="A1239" s="151"/>
      <c r="B1239" s="347"/>
      <c r="C1239" s="108"/>
      <c r="D1239" s="108"/>
      <c r="E1239" s="349"/>
    </row>
    <row r="1240" spans="1:5" ht="15">
      <c r="A1240" s="151"/>
      <c r="B1240" s="347"/>
      <c r="C1240" s="108"/>
      <c r="D1240" s="108"/>
      <c r="E1240" s="349"/>
    </row>
    <row r="1241" spans="1:5" ht="15">
      <c r="A1241" s="151"/>
      <c r="B1241" s="347"/>
      <c r="C1241" s="108"/>
      <c r="D1241" s="108"/>
      <c r="E1241" s="349"/>
    </row>
    <row r="1242" spans="1:5" ht="15">
      <c r="A1242" s="151"/>
      <c r="B1242" s="347"/>
      <c r="C1242" s="108"/>
      <c r="D1242" s="108"/>
      <c r="E1242" s="349"/>
    </row>
    <row r="1243" spans="1:5" ht="15">
      <c r="A1243" s="151"/>
      <c r="B1243" s="347"/>
      <c r="C1243" s="108"/>
      <c r="D1243" s="108"/>
      <c r="E1243" s="349"/>
    </row>
    <row r="1244" spans="1:5" ht="15">
      <c r="A1244" s="151"/>
      <c r="B1244" s="347"/>
      <c r="C1244" s="108"/>
      <c r="D1244" s="108"/>
      <c r="E1244" s="349"/>
    </row>
    <row r="1245" spans="1:5" ht="15">
      <c r="A1245" s="151"/>
      <c r="B1245" s="347"/>
      <c r="C1245" s="108"/>
      <c r="D1245" s="108"/>
      <c r="E1245" s="349"/>
    </row>
    <row r="1246" spans="1:5" ht="15">
      <c r="A1246" s="151"/>
      <c r="B1246" s="347"/>
      <c r="C1246" s="108"/>
      <c r="D1246" s="108"/>
      <c r="E1246" s="349"/>
    </row>
    <row r="1247" spans="1:5" ht="15">
      <c r="A1247" s="151"/>
      <c r="B1247" s="347"/>
      <c r="C1247" s="108"/>
      <c r="D1247" s="108"/>
      <c r="E1247" s="349"/>
    </row>
    <row r="1248" spans="1:5" ht="15">
      <c r="A1248" s="151"/>
      <c r="B1248" s="347"/>
      <c r="C1248" s="108"/>
      <c r="D1248" s="108"/>
      <c r="E1248" s="349"/>
    </row>
    <row r="1249" spans="1:5" ht="15">
      <c r="A1249" s="151"/>
      <c r="B1249" s="347"/>
      <c r="C1249" s="108"/>
      <c r="D1249" s="108"/>
      <c r="E1249" s="349"/>
    </row>
    <row r="1250" spans="1:5" ht="15">
      <c r="A1250" s="151"/>
      <c r="B1250" s="347"/>
      <c r="C1250" s="108"/>
      <c r="D1250" s="108"/>
      <c r="E1250" s="349"/>
    </row>
    <row r="1251" spans="1:5" ht="15">
      <c r="A1251" s="151"/>
      <c r="B1251" s="347"/>
      <c r="C1251" s="108"/>
      <c r="D1251" s="108"/>
      <c r="E1251" s="349"/>
    </row>
    <row r="1252" spans="1:5" ht="15">
      <c r="A1252" s="151"/>
      <c r="B1252" s="347"/>
      <c r="C1252" s="108"/>
      <c r="D1252" s="108"/>
      <c r="E1252" s="349"/>
    </row>
    <row r="1253" spans="1:5" ht="15">
      <c r="A1253" s="151"/>
      <c r="B1253" s="347"/>
      <c r="C1253" s="108"/>
      <c r="D1253" s="108"/>
      <c r="E1253" s="349"/>
    </row>
    <row r="1254" spans="1:5" ht="15">
      <c r="A1254" s="151"/>
      <c r="B1254" s="347"/>
      <c r="C1254" s="108"/>
      <c r="D1254" s="108"/>
      <c r="E1254" s="349"/>
    </row>
    <row r="1255" spans="1:5" ht="15">
      <c r="A1255" s="151"/>
      <c r="B1255" s="347"/>
      <c r="C1255" s="108"/>
      <c r="D1255" s="108"/>
      <c r="E1255" s="349"/>
    </row>
    <row r="1256" spans="1:5" ht="15">
      <c r="A1256" s="151"/>
      <c r="B1256" s="347"/>
      <c r="C1256" s="108"/>
      <c r="D1256" s="108"/>
      <c r="E1256" s="349"/>
    </row>
    <row r="1257" spans="1:5" ht="15">
      <c r="A1257" s="151"/>
      <c r="B1257" s="347"/>
      <c r="C1257" s="108"/>
      <c r="D1257" s="108"/>
      <c r="E1257" s="349"/>
    </row>
    <row r="1258" spans="1:5" ht="15">
      <c r="A1258" s="151"/>
      <c r="B1258" s="347"/>
      <c r="C1258" s="108"/>
      <c r="D1258" s="108"/>
      <c r="E1258" s="349"/>
    </row>
    <row r="1259" spans="1:5" ht="15">
      <c r="A1259" s="151"/>
      <c r="B1259" s="347"/>
      <c r="C1259" s="108"/>
      <c r="D1259" s="108"/>
      <c r="E1259" s="349"/>
    </row>
    <row r="1260" spans="1:5" ht="15">
      <c r="A1260" s="151"/>
      <c r="B1260" s="347"/>
      <c r="C1260" s="108"/>
      <c r="D1260" s="108"/>
      <c r="E1260" s="349"/>
    </row>
    <row r="1261" spans="1:5" ht="15">
      <c r="A1261" s="151"/>
      <c r="B1261" s="347"/>
      <c r="C1261" s="108"/>
      <c r="D1261" s="108"/>
      <c r="E1261" s="349"/>
    </row>
    <row r="1262" spans="1:5" ht="15">
      <c r="A1262" s="151"/>
      <c r="B1262" s="347"/>
      <c r="C1262" s="108"/>
      <c r="D1262" s="108"/>
      <c r="E1262" s="349"/>
    </row>
    <row r="1263" spans="1:5" ht="15">
      <c r="A1263" s="151"/>
      <c r="B1263" s="347"/>
      <c r="C1263" s="108"/>
      <c r="D1263" s="108"/>
      <c r="E1263" s="349"/>
    </row>
    <row r="1264" spans="1:5" ht="15">
      <c r="A1264" s="151"/>
      <c r="B1264" s="347"/>
      <c r="C1264" s="108"/>
      <c r="D1264" s="108"/>
      <c r="E1264" s="349"/>
    </row>
    <row r="1265" spans="1:5" ht="15">
      <c r="A1265" s="151"/>
      <c r="B1265" s="347"/>
      <c r="C1265" s="108"/>
      <c r="D1265" s="108"/>
      <c r="E1265" s="349"/>
    </row>
    <row r="1266" spans="1:5" ht="15">
      <c r="A1266" s="151"/>
      <c r="B1266" s="347"/>
      <c r="C1266" s="108"/>
      <c r="D1266" s="108"/>
      <c r="E1266" s="349"/>
    </row>
    <row r="1267" spans="1:5" ht="15">
      <c r="A1267" s="151"/>
      <c r="B1267" s="347"/>
      <c r="C1267" s="108"/>
      <c r="D1267" s="108"/>
      <c r="E1267" s="349"/>
    </row>
    <row r="1268" spans="1:5" ht="15">
      <c r="A1268" s="151"/>
      <c r="B1268" s="347"/>
      <c r="C1268" s="108"/>
      <c r="D1268" s="108"/>
      <c r="E1268" s="349"/>
    </row>
    <row r="1269" spans="1:5" ht="15">
      <c r="A1269" s="151"/>
      <c r="B1269" s="347"/>
      <c r="C1269" s="108"/>
      <c r="D1269" s="108"/>
      <c r="E1269" s="349"/>
    </row>
    <row r="1270" spans="1:5" ht="15">
      <c r="A1270" s="151"/>
      <c r="B1270" s="347"/>
      <c r="C1270" s="108"/>
      <c r="D1270" s="108"/>
      <c r="E1270" s="349"/>
    </row>
    <row r="1271" spans="1:5" ht="15">
      <c r="A1271" s="151"/>
      <c r="B1271" s="347"/>
      <c r="C1271" s="108"/>
      <c r="D1271" s="108"/>
      <c r="E1271" s="349"/>
    </row>
    <row r="1272" spans="1:5" ht="15">
      <c r="A1272" s="151"/>
      <c r="B1272" s="347"/>
      <c r="C1272" s="108"/>
      <c r="D1272" s="108"/>
      <c r="E1272" s="349"/>
    </row>
    <row r="1273" spans="1:5" ht="15">
      <c r="A1273" s="151"/>
      <c r="B1273" s="347"/>
      <c r="C1273" s="108"/>
      <c r="D1273" s="108"/>
      <c r="E1273" s="349"/>
    </row>
    <row r="1274" spans="1:5" ht="15">
      <c r="A1274" s="151"/>
      <c r="B1274" s="347"/>
      <c r="C1274" s="108"/>
      <c r="D1274" s="108"/>
      <c r="E1274" s="349"/>
    </row>
    <row r="1275" spans="1:5" ht="15">
      <c r="A1275" s="151"/>
      <c r="B1275" s="347"/>
      <c r="C1275" s="108"/>
      <c r="D1275" s="108"/>
      <c r="E1275" s="349"/>
    </row>
    <row r="1276" spans="1:5" ht="15">
      <c r="A1276" s="151"/>
      <c r="B1276" s="347"/>
      <c r="C1276" s="108"/>
      <c r="D1276" s="108"/>
      <c r="E1276" s="349"/>
    </row>
    <row r="1277" spans="1:5" ht="15">
      <c r="A1277" s="151"/>
      <c r="B1277" s="347"/>
      <c r="C1277" s="108"/>
      <c r="D1277" s="108"/>
      <c r="E1277" s="349"/>
    </row>
    <row r="1278" spans="1:5" ht="15">
      <c r="A1278" s="151"/>
      <c r="B1278" s="347"/>
      <c r="C1278" s="108"/>
      <c r="D1278" s="108"/>
      <c r="E1278" s="349"/>
    </row>
    <row r="1279" spans="1:5" ht="15">
      <c r="A1279" s="151"/>
      <c r="B1279" s="347"/>
      <c r="C1279" s="108"/>
      <c r="D1279" s="108"/>
      <c r="E1279" s="349"/>
    </row>
    <row r="1280" spans="1:5" ht="15">
      <c r="A1280" s="151"/>
      <c r="B1280" s="347"/>
      <c r="C1280" s="108"/>
      <c r="D1280" s="108"/>
      <c r="E1280" s="349"/>
    </row>
    <row r="1281" spans="1:5" ht="15">
      <c r="A1281" s="151"/>
      <c r="B1281" s="347"/>
      <c r="C1281" s="108"/>
      <c r="D1281" s="108"/>
      <c r="E1281" s="349"/>
    </row>
    <row r="1282" spans="1:5" ht="15">
      <c r="A1282" s="151"/>
      <c r="B1282" s="347"/>
      <c r="C1282" s="108"/>
      <c r="D1282" s="108"/>
      <c r="E1282" s="349"/>
    </row>
    <row r="1283" spans="1:5" ht="15">
      <c r="A1283" s="151"/>
      <c r="B1283" s="347"/>
      <c r="C1283" s="108"/>
      <c r="D1283" s="108"/>
      <c r="E1283" s="349"/>
    </row>
    <row r="1284" spans="1:5" ht="15">
      <c r="A1284" s="151"/>
      <c r="B1284" s="347"/>
      <c r="C1284" s="108"/>
      <c r="D1284" s="108"/>
      <c r="E1284" s="349"/>
    </row>
    <row r="1285" spans="1:5" ht="15">
      <c r="A1285" s="151"/>
      <c r="B1285" s="347"/>
      <c r="C1285" s="108"/>
      <c r="D1285" s="108"/>
      <c r="E1285" s="349"/>
    </row>
    <row r="1286" spans="1:5" ht="15">
      <c r="A1286" s="151"/>
      <c r="B1286" s="347"/>
      <c r="C1286" s="108"/>
      <c r="D1286" s="108"/>
      <c r="E1286" s="349"/>
    </row>
    <row r="1287" spans="1:5" ht="15">
      <c r="A1287" s="151"/>
      <c r="B1287" s="347"/>
      <c r="C1287" s="108"/>
      <c r="D1287" s="108"/>
      <c r="E1287" s="349"/>
    </row>
    <row r="1288" spans="1:5" ht="15">
      <c r="A1288" s="151"/>
      <c r="B1288" s="347"/>
      <c r="C1288" s="108"/>
      <c r="D1288" s="108"/>
      <c r="E1288" s="349"/>
    </row>
    <row r="1289" spans="1:5" ht="15">
      <c r="A1289" s="151"/>
      <c r="B1289" s="347"/>
      <c r="C1289" s="108"/>
      <c r="D1289" s="108"/>
      <c r="E1289" s="349"/>
    </row>
    <row r="1290" spans="1:5" ht="15">
      <c r="A1290" s="151"/>
      <c r="B1290" s="347"/>
      <c r="C1290" s="108"/>
      <c r="D1290" s="108"/>
      <c r="E1290" s="349"/>
    </row>
    <row r="1291" spans="1:5" ht="15">
      <c r="A1291" s="151"/>
      <c r="B1291" s="347"/>
      <c r="C1291" s="108"/>
      <c r="D1291" s="108"/>
      <c r="E1291" s="349"/>
    </row>
    <row r="1292" spans="1:5" ht="15">
      <c r="A1292" s="151"/>
      <c r="B1292" s="347"/>
      <c r="C1292" s="108"/>
      <c r="D1292" s="108"/>
      <c r="E1292" s="349"/>
    </row>
    <row r="1293" spans="1:5" ht="15">
      <c r="A1293" s="151"/>
      <c r="B1293" s="347"/>
      <c r="C1293" s="108"/>
      <c r="D1293" s="108"/>
      <c r="E1293" s="349"/>
    </row>
    <row r="1294" spans="1:5" ht="15">
      <c r="A1294" s="151"/>
      <c r="B1294" s="347"/>
      <c r="C1294" s="108"/>
      <c r="D1294" s="108"/>
      <c r="E1294" s="349"/>
    </row>
    <row r="1295" spans="1:5" ht="15">
      <c r="A1295" s="151"/>
      <c r="B1295" s="347"/>
      <c r="C1295" s="108"/>
      <c r="D1295" s="108"/>
      <c r="E1295" s="349"/>
    </row>
    <row r="1296" spans="1:5" ht="15">
      <c r="A1296" s="151"/>
      <c r="B1296" s="347"/>
      <c r="C1296" s="108"/>
      <c r="D1296" s="108"/>
      <c r="E1296" s="349"/>
    </row>
    <row r="1297" spans="1:5" ht="15">
      <c r="A1297" s="151"/>
      <c r="B1297" s="347"/>
      <c r="C1297" s="108"/>
      <c r="D1297" s="108"/>
      <c r="E1297" s="349"/>
    </row>
    <row r="1298" spans="1:5" ht="15">
      <c r="A1298" s="151"/>
      <c r="B1298" s="347"/>
      <c r="C1298" s="108"/>
      <c r="D1298" s="108"/>
      <c r="E1298" s="349"/>
    </row>
    <row r="1299" spans="1:5" ht="15">
      <c r="A1299" s="151"/>
      <c r="B1299" s="347"/>
      <c r="C1299" s="108"/>
      <c r="D1299" s="108"/>
      <c r="E1299" s="349"/>
    </row>
    <row r="1300" spans="1:5" ht="15">
      <c r="A1300" s="151"/>
      <c r="B1300" s="347"/>
      <c r="C1300" s="108"/>
      <c r="D1300" s="108"/>
      <c r="E1300" s="349"/>
    </row>
    <row r="1301" spans="1:5" ht="15">
      <c r="A1301" s="151"/>
      <c r="B1301" s="347"/>
      <c r="C1301" s="108"/>
      <c r="D1301" s="108"/>
      <c r="E1301" s="349"/>
    </row>
    <row r="1302" spans="1:5" ht="15">
      <c r="A1302" s="151"/>
      <c r="B1302" s="347"/>
      <c r="C1302" s="108"/>
      <c r="D1302" s="108"/>
      <c r="E1302" s="349"/>
    </row>
    <row r="1303" spans="1:5" ht="15">
      <c r="A1303" s="151"/>
      <c r="B1303" s="347"/>
      <c r="C1303" s="108"/>
      <c r="D1303" s="108"/>
      <c r="E1303" s="349"/>
    </row>
    <row r="1304" spans="1:5" ht="15">
      <c r="A1304" s="151"/>
      <c r="B1304" s="347"/>
      <c r="C1304" s="108"/>
      <c r="D1304" s="108"/>
      <c r="E1304" s="349"/>
    </row>
    <row r="1305" spans="1:5" ht="15">
      <c r="A1305" s="151"/>
      <c r="B1305" s="347"/>
      <c r="C1305" s="108"/>
      <c r="D1305" s="108"/>
      <c r="E1305" s="349"/>
    </row>
    <row r="1306" spans="1:5" ht="15">
      <c r="A1306" s="151"/>
      <c r="B1306" s="347"/>
      <c r="C1306" s="108"/>
      <c r="D1306" s="108"/>
      <c r="E1306" s="349"/>
    </row>
    <row r="1307" spans="1:5" ht="15">
      <c r="A1307" s="151"/>
      <c r="B1307" s="347"/>
      <c r="C1307" s="108"/>
      <c r="D1307" s="108"/>
      <c r="E1307" s="349"/>
    </row>
    <row r="1308" spans="1:5" ht="15">
      <c r="A1308" s="151"/>
      <c r="B1308" s="347"/>
      <c r="C1308" s="108"/>
      <c r="D1308" s="108"/>
      <c r="E1308" s="349"/>
    </row>
    <row r="1309" spans="1:5" ht="15">
      <c r="A1309" s="151"/>
      <c r="B1309" s="347"/>
      <c r="C1309" s="108"/>
      <c r="D1309" s="108"/>
      <c r="E1309" s="349"/>
    </row>
    <row r="1310" spans="1:5" ht="15">
      <c r="A1310" s="151"/>
      <c r="B1310" s="347"/>
      <c r="C1310" s="108"/>
      <c r="D1310" s="108"/>
      <c r="E1310" s="349"/>
    </row>
    <row r="1311" spans="1:5" ht="15">
      <c r="A1311" s="151"/>
      <c r="B1311" s="347"/>
      <c r="C1311" s="108"/>
      <c r="D1311" s="108"/>
      <c r="E1311" s="349"/>
    </row>
    <row r="1312" spans="1:5" ht="15">
      <c r="A1312" s="151"/>
      <c r="B1312" s="347"/>
      <c r="C1312" s="108"/>
      <c r="D1312" s="108"/>
      <c r="E1312" s="349"/>
    </row>
    <row r="1313" spans="1:5" ht="15">
      <c r="A1313" s="151"/>
      <c r="B1313" s="347"/>
      <c r="C1313" s="108"/>
      <c r="D1313" s="108"/>
      <c r="E1313" s="349"/>
    </row>
    <row r="1314" spans="1:5" ht="15">
      <c r="A1314" s="151"/>
      <c r="B1314" s="347"/>
      <c r="C1314" s="108"/>
      <c r="D1314" s="108"/>
      <c r="E1314" s="349"/>
    </row>
    <row r="1315" spans="1:5" ht="15">
      <c r="A1315" s="151"/>
      <c r="B1315" s="347"/>
      <c r="C1315" s="108"/>
      <c r="D1315" s="108"/>
      <c r="E1315" s="349"/>
    </row>
    <row r="1316" spans="1:5" ht="15">
      <c r="A1316" s="151"/>
      <c r="B1316" s="347"/>
      <c r="C1316" s="108"/>
      <c r="D1316" s="108"/>
      <c r="E1316" s="349"/>
    </row>
    <row r="1317" spans="1:5" ht="15">
      <c r="A1317" s="151"/>
      <c r="B1317" s="347"/>
      <c r="C1317" s="108"/>
      <c r="D1317" s="108"/>
      <c r="E1317" s="349"/>
    </row>
    <row r="1318" spans="1:5" ht="15">
      <c r="A1318" s="151"/>
      <c r="B1318" s="347"/>
      <c r="C1318" s="108"/>
      <c r="D1318" s="108"/>
      <c r="E1318" s="349"/>
    </row>
    <row r="1319" spans="1:5" ht="15">
      <c r="A1319" s="151"/>
      <c r="B1319" s="347"/>
      <c r="C1319" s="108"/>
      <c r="D1319" s="108"/>
      <c r="E1319" s="349"/>
    </row>
    <row r="1320" spans="1:5" ht="15">
      <c r="A1320" s="151"/>
      <c r="B1320" s="347"/>
      <c r="C1320" s="108"/>
      <c r="D1320" s="108"/>
      <c r="E1320" s="349"/>
    </row>
    <row r="1321" spans="1:5" ht="15">
      <c r="A1321" s="151"/>
      <c r="B1321" s="347"/>
      <c r="C1321" s="108"/>
      <c r="D1321" s="108"/>
      <c r="E1321" s="349"/>
    </row>
    <row r="1322" spans="1:5" ht="15">
      <c r="A1322" s="151"/>
      <c r="B1322" s="347"/>
      <c r="C1322" s="108"/>
      <c r="D1322" s="108"/>
      <c r="E1322" s="349"/>
    </row>
    <row r="1323" spans="1:5" ht="15">
      <c r="A1323" s="151"/>
      <c r="B1323" s="347"/>
      <c r="C1323" s="108"/>
      <c r="D1323" s="108"/>
      <c r="E1323" s="349"/>
    </row>
    <row r="1324" spans="1:5" ht="15">
      <c r="A1324" s="151"/>
      <c r="B1324" s="347"/>
      <c r="C1324" s="108"/>
      <c r="D1324" s="108"/>
      <c r="E1324" s="349"/>
    </row>
    <row r="1325" spans="1:5" ht="15">
      <c r="A1325" s="151"/>
      <c r="B1325" s="347"/>
      <c r="C1325" s="108"/>
      <c r="D1325" s="108"/>
      <c r="E1325" s="349"/>
    </row>
    <row r="1326" spans="1:5" ht="15">
      <c r="A1326" s="151"/>
      <c r="B1326" s="347"/>
      <c r="C1326" s="108"/>
      <c r="D1326" s="108"/>
      <c r="E1326" s="349"/>
    </row>
    <row r="1327" spans="1:5" ht="15">
      <c r="A1327" s="151"/>
      <c r="B1327" s="347"/>
      <c r="C1327" s="108"/>
      <c r="D1327" s="108"/>
      <c r="E1327" s="349"/>
    </row>
    <row r="1328" spans="1:5" ht="15">
      <c r="A1328" s="151"/>
      <c r="B1328" s="347"/>
      <c r="C1328" s="108"/>
      <c r="D1328" s="108"/>
      <c r="E1328" s="349"/>
    </row>
    <row r="1329" spans="1:5" ht="15">
      <c r="A1329" s="151"/>
      <c r="B1329" s="347"/>
      <c r="C1329" s="108"/>
      <c r="D1329" s="108"/>
      <c r="E1329" s="349"/>
    </row>
    <row r="1330" spans="1:5" ht="15">
      <c r="A1330" s="151"/>
      <c r="B1330" s="347"/>
      <c r="C1330" s="108"/>
      <c r="D1330" s="108"/>
      <c r="E1330" s="349"/>
    </row>
    <row r="1331" spans="1:5" ht="15">
      <c r="A1331" s="151"/>
      <c r="B1331" s="347"/>
      <c r="C1331" s="108"/>
      <c r="D1331" s="108"/>
      <c r="E1331" s="349"/>
    </row>
    <row r="1332" spans="1:5" ht="15">
      <c r="A1332" s="151"/>
      <c r="B1332" s="347"/>
      <c r="C1332" s="108"/>
      <c r="D1332" s="108"/>
      <c r="E1332" s="349"/>
    </row>
    <row r="1333" spans="1:5" ht="15">
      <c r="A1333" s="151"/>
      <c r="B1333" s="347"/>
      <c r="C1333" s="108"/>
      <c r="D1333" s="108"/>
      <c r="E1333" s="349"/>
    </row>
    <row r="1334" spans="1:5" ht="15">
      <c r="A1334" s="151"/>
      <c r="B1334" s="347"/>
      <c r="C1334" s="108"/>
      <c r="D1334" s="108"/>
      <c r="E1334" s="349"/>
    </row>
    <row r="1335" spans="1:5" ht="15">
      <c r="A1335" s="151"/>
      <c r="B1335" s="347"/>
      <c r="C1335" s="108"/>
      <c r="D1335" s="108"/>
      <c r="E1335" s="349"/>
    </row>
    <row r="1336" spans="1:5" ht="15">
      <c r="A1336" s="151"/>
      <c r="B1336" s="347"/>
      <c r="C1336" s="108"/>
      <c r="D1336" s="108"/>
      <c r="E1336" s="349"/>
    </row>
    <row r="1337" spans="1:5" ht="15">
      <c r="A1337" s="151"/>
      <c r="B1337" s="347"/>
      <c r="C1337" s="108"/>
      <c r="D1337" s="108"/>
      <c r="E1337" s="349"/>
    </row>
    <row r="1338" spans="1:5" ht="15">
      <c r="A1338" s="151"/>
      <c r="B1338" s="347"/>
      <c r="C1338" s="108"/>
      <c r="D1338" s="108"/>
      <c r="E1338" s="349"/>
    </row>
    <row r="1339" spans="1:5" ht="15">
      <c r="A1339" s="151"/>
      <c r="B1339" s="347"/>
      <c r="C1339" s="108"/>
      <c r="D1339" s="108"/>
      <c r="E1339" s="349"/>
    </row>
    <row r="1340" spans="1:5" ht="15">
      <c r="A1340" s="151"/>
      <c r="B1340" s="347"/>
      <c r="C1340" s="108"/>
      <c r="D1340" s="108"/>
      <c r="E1340" s="349"/>
    </row>
    <row r="1341" spans="1:5" ht="15">
      <c r="A1341" s="151"/>
      <c r="B1341" s="347"/>
      <c r="C1341" s="108"/>
      <c r="D1341" s="108"/>
      <c r="E1341" s="349"/>
    </row>
    <row r="1342" spans="1:5" ht="15">
      <c r="A1342" s="151"/>
      <c r="B1342" s="347"/>
      <c r="C1342" s="108"/>
      <c r="D1342" s="108"/>
      <c r="E1342" s="349"/>
    </row>
    <row r="1343" spans="1:5" ht="15">
      <c r="A1343" s="151"/>
      <c r="B1343" s="347"/>
      <c r="C1343" s="108"/>
      <c r="D1343" s="108"/>
      <c r="E1343" s="349"/>
    </row>
    <row r="1344" spans="1:5" ht="15">
      <c r="A1344" s="151"/>
      <c r="B1344" s="347"/>
      <c r="C1344" s="108"/>
      <c r="D1344" s="108"/>
      <c r="E1344" s="349"/>
    </row>
    <row r="1345" spans="1:5" ht="15">
      <c r="A1345" s="151"/>
      <c r="B1345" s="347"/>
      <c r="C1345" s="108"/>
      <c r="D1345" s="108"/>
      <c r="E1345" s="349"/>
    </row>
    <row r="1346" spans="1:5" ht="15">
      <c r="A1346" s="151"/>
      <c r="B1346" s="347"/>
      <c r="C1346" s="108"/>
      <c r="D1346" s="108"/>
      <c r="E1346" s="349"/>
    </row>
    <row r="1347" spans="1:5" ht="15">
      <c r="A1347" s="151"/>
      <c r="B1347" s="347"/>
      <c r="C1347" s="108"/>
      <c r="D1347" s="108"/>
      <c r="E1347" s="349"/>
    </row>
    <row r="1348" spans="1:5" ht="15">
      <c r="A1348" s="151"/>
      <c r="B1348" s="347"/>
      <c r="C1348" s="108"/>
      <c r="D1348" s="108"/>
      <c r="E1348" s="349"/>
    </row>
    <row r="1349" spans="1:5" ht="15">
      <c r="A1349" s="151"/>
      <c r="B1349" s="347"/>
      <c r="C1349" s="108"/>
      <c r="D1349" s="108"/>
      <c r="E1349" s="349"/>
    </row>
    <row r="1350" spans="1:5" ht="15">
      <c r="A1350" s="151"/>
      <c r="B1350" s="347"/>
      <c r="C1350" s="108"/>
      <c r="D1350" s="108"/>
      <c r="E1350" s="349"/>
    </row>
    <row r="1351" spans="1:5" ht="15">
      <c r="A1351" s="151"/>
      <c r="B1351" s="347"/>
      <c r="C1351" s="108"/>
      <c r="D1351" s="108"/>
      <c r="E1351" s="349"/>
    </row>
    <row r="1352" spans="1:5" ht="15">
      <c r="A1352" s="151"/>
      <c r="B1352" s="347"/>
      <c r="C1352" s="108"/>
      <c r="D1352" s="108"/>
      <c r="E1352" s="349"/>
    </row>
    <row r="1353" spans="1:5" ht="15">
      <c r="A1353" s="151"/>
      <c r="B1353" s="347"/>
      <c r="C1353" s="108"/>
      <c r="D1353" s="108"/>
      <c r="E1353" s="349"/>
    </row>
    <row r="1354" spans="1:5" ht="15">
      <c r="A1354" s="151"/>
      <c r="B1354" s="347"/>
      <c r="C1354" s="108"/>
      <c r="D1354" s="108"/>
      <c r="E1354" s="349"/>
    </row>
    <row r="1355" spans="1:5" ht="15">
      <c r="A1355" s="151"/>
      <c r="B1355" s="347"/>
      <c r="C1355" s="108"/>
      <c r="D1355" s="108"/>
      <c r="E1355" s="349"/>
    </row>
    <row r="1356" spans="1:5" ht="15">
      <c r="A1356" s="151"/>
      <c r="B1356" s="347"/>
      <c r="C1356" s="108"/>
      <c r="D1356" s="108"/>
      <c r="E1356" s="349"/>
    </row>
    <row r="1357" spans="1:5" ht="15">
      <c r="A1357" s="151"/>
      <c r="B1357" s="347"/>
      <c r="C1357" s="108"/>
      <c r="D1357" s="108"/>
      <c r="E1357" s="349"/>
    </row>
    <row r="1358" spans="1:5" ht="15">
      <c r="A1358" s="151"/>
      <c r="B1358" s="347"/>
      <c r="C1358" s="108"/>
      <c r="D1358" s="108"/>
      <c r="E1358" s="349"/>
    </row>
    <row r="1359" spans="1:5" ht="15">
      <c r="A1359" s="151"/>
      <c r="B1359" s="347"/>
      <c r="C1359" s="108"/>
      <c r="D1359" s="108"/>
      <c r="E1359" s="349"/>
    </row>
    <row r="1360" spans="1:5" ht="15">
      <c r="A1360" s="151"/>
      <c r="B1360" s="347"/>
      <c r="C1360" s="108"/>
      <c r="D1360" s="108"/>
      <c r="E1360" s="349"/>
    </row>
    <row r="1361" spans="1:5" ht="15">
      <c r="A1361" s="151"/>
      <c r="B1361" s="347"/>
      <c r="C1361" s="108"/>
      <c r="D1361" s="108"/>
      <c r="E1361" s="349"/>
    </row>
    <row r="1362" spans="1:5" ht="15">
      <c r="A1362" s="151"/>
      <c r="B1362" s="347"/>
      <c r="C1362" s="108"/>
      <c r="D1362" s="108"/>
      <c r="E1362" s="349"/>
    </row>
    <row r="1363" spans="1:5" ht="15">
      <c r="A1363" s="151"/>
      <c r="B1363" s="347"/>
      <c r="C1363" s="108"/>
      <c r="D1363" s="108"/>
      <c r="E1363" s="349"/>
    </row>
    <row r="1364" spans="1:5" ht="15">
      <c r="A1364" s="151"/>
      <c r="B1364" s="347"/>
      <c r="C1364" s="108"/>
      <c r="D1364" s="108"/>
      <c r="E1364" s="349"/>
    </row>
    <row r="1365" spans="1:5" ht="15">
      <c r="A1365" s="151"/>
      <c r="B1365" s="347"/>
      <c r="C1365" s="108"/>
      <c r="D1365" s="108"/>
      <c r="E1365" s="349"/>
    </row>
    <row r="1366" spans="1:5" ht="15">
      <c r="A1366" s="151"/>
      <c r="B1366" s="347"/>
      <c r="C1366" s="108"/>
      <c r="D1366" s="108"/>
      <c r="E1366" s="349"/>
    </row>
    <row r="1367" spans="1:5" ht="15">
      <c r="A1367" s="151"/>
      <c r="B1367" s="347"/>
      <c r="C1367" s="108"/>
      <c r="D1367" s="108"/>
      <c r="E1367" s="349"/>
    </row>
    <row r="1368" spans="1:5" ht="15">
      <c r="A1368" s="151"/>
      <c r="B1368" s="347"/>
      <c r="C1368" s="108"/>
      <c r="D1368" s="108"/>
      <c r="E1368" s="349"/>
    </row>
    <row r="1369" spans="1:5" ht="15">
      <c r="A1369" s="151"/>
      <c r="B1369" s="347"/>
      <c r="C1369" s="108"/>
      <c r="D1369" s="108"/>
      <c r="E1369" s="349"/>
    </row>
    <row r="1370" spans="1:5" ht="15">
      <c r="A1370" s="151"/>
      <c r="B1370" s="347"/>
      <c r="C1370" s="108"/>
      <c r="D1370" s="108"/>
      <c r="E1370" s="349"/>
    </row>
    <row r="1371" spans="1:5" ht="15">
      <c r="A1371" s="151"/>
      <c r="B1371" s="347"/>
      <c r="C1371" s="108"/>
      <c r="D1371" s="108"/>
      <c r="E1371" s="349"/>
    </row>
    <row r="1372" spans="1:5" ht="15">
      <c r="A1372" s="151"/>
      <c r="B1372" s="347"/>
      <c r="C1372" s="108"/>
      <c r="D1372" s="108"/>
      <c r="E1372" s="349"/>
    </row>
    <row r="1373" spans="1:5" ht="15">
      <c r="A1373" s="151"/>
      <c r="B1373" s="347"/>
      <c r="C1373" s="108"/>
      <c r="D1373" s="108"/>
      <c r="E1373" s="349"/>
    </row>
    <row r="1374" spans="1:5" ht="15">
      <c r="A1374" s="151"/>
      <c r="B1374" s="347"/>
      <c r="C1374" s="108"/>
      <c r="D1374" s="108"/>
      <c r="E1374" s="349"/>
    </row>
    <row r="1375" spans="1:5" ht="15">
      <c r="A1375" s="151"/>
      <c r="B1375" s="347"/>
      <c r="C1375" s="108"/>
      <c r="D1375" s="108"/>
      <c r="E1375" s="349"/>
    </row>
    <row r="1376" spans="1:5" ht="15">
      <c r="A1376" s="151"/>
      <c r="B1376" s="347"/>
      <c r="C1376" s="108"/>
      <c r="D1376" s="108"/>
      <c r="E1376" s="349"/>
    </row>
    <row r="1377" spans="1:5" ht="15">
      <c r="A1377" s="151"/>
      <c r="B1377" s="347"/>
      <c r="C1377" s="108"/>
      <c r="D1377" s="108"/>
      <c r="E1377" s="349"/>
    </row>
    <row r="1378" spans="1:5" ht="15">
      <c r="A1378" s="151"/>
      <c r="B1378" s="347"/>
      <c r="C1378" s="108"/>
      <c r="D1378" s="108"/>
      <c r="E1378" s="349"/>
    </row>
    <row r="1379" spans="1:5" ht="15">
      <c r="A1379" s="151"/>
      <c r="B1379" s="347"/>
      <c r="C1379" s="108"/>
      <c r="D1379" s="108"/>
      <c r="E1379" s="349"/>
    </row>
    <row r="1380" spans="1:5" ht="15">
      <c r="A1380" s="151"/>
      <c r="B1380" s="347"/>
      <c r="C1380" s="108"/>
      <c r="D1380" s="108"/>
      <c r="E1380" s="349"/>
    </row>
    <row r="1381" spans="1:5" ht="15">
      <c r="A1381" s="151"/>
      <c r="B1381" s="347"/>
      <c r="C1381" s="108"/>
      <c r="D1381" s="108"/>
      <c r="E1381" s="349"/>
    </row>
    <row r="1382" spans="1:5" ht="15">
      <c r="A1382" s="151"/>
      <c r="B1382" s="347"/>
      <c r="C1382" s="108"/>
      <c r="D1382" s="108"/>
      <c r="E1382" s="349"/>
    </row>
    <row r="1383" spans="1:5" ht="15">
      <c r="A1383" s="151"/>
      <c r="B1383" s="347"/>
      <c r="C1383" s="108"/>
      <c r="D1383" s="108"/>
      <c r="E1383" s="349"/>
    </row>
    <row r="1384" spans="1:5" ht="15">
      <c r="A1384" s="151"/>
      <c r="B1384" s="347"/>
      <c r="C1384" s="108"/>
      <c r="D1384" s="108"/>
      <c r="E1384" s="349"/>
    </row>
    <row r="1385" spans="1:5" ht="15">
      <c r="A1385" s="151"/>
      <c r="B1385" s="347"/>
      <c r="C1385" s="108"/>
      <c r="D1385" s="108"/>
      <c r="E1385" s="349"/>
    </row>
    <row r="1386" spans="1:5" ht="15">
      <c r="A1386" s="151"/>
      <c r="B1386" s="347"/>
      <c r="C1386" s="108"/>
      <c r="D1386" s="108"/>
      <c r="E1386" s="349"/>
    </row>
    <row r="1387" spans="1:5" ht="15">
      <c r="A1387" s="151"/>
      <c r="B1387" s="347"/>
      <c r="C1387" s="108"/>
      <c r="D1387" s="108"/>
      <c r="E1387" s="349"/>
    </row>
    <row r="1388" spans="1:5" ht="15">
      <c r="A1388" s="151"/>
      <c r="B1388" s="347"/>
      <c r="C1388" s="108"/>
      <c r="D1388" s="108"/>
      <c r="E1388" s="349"/>
    </row>
    <row r="1389" spans="1:5" ht="15">
      <c r="A1389" s="151"/>
      <c r="B1389" s="347"/>
      <c r="C1389" s="108"/>
      <c r="D1389" s="108"/>
      <c r="E1389" s="349"/>
    </row>
    <row r="1390" spans="1:5" ht="15">
      <c r="A1390" s="151"/>
      <c r="B1390" s="347"/>
      <c r="C1390" s="108"/>
      <c r="D1390" s="108"/>
      <c r="E1390" s="349"/>
    </row>
    <row r="1391" spans="1:5" ht="15">
      <c r="A1391" s="151"/>
      <c r="B1391" s="347"/>
      <c r="C1391" s="108"/>
      <c r="D1391" s="108"/>
      <c r="E1391" s="349"/>
    </row>
    <row r="1392" spans="1:5" ht="15">
      <c r="A1392" s="151"/>
      <c r="B1392" s="347"/>
      <c r="C1392" s="108"/>
      <c r="D1392" s="108"/>
      <c r="E1392" s="349"/>
    </row>
    <row r="1393" spans="1:5" ht="15">
      <c r="A1393" s="151"/>
      <c r="B1393" s="347"/>
      <c r="C1393" s="108"/>
      <c r="D1393" s="108"/>
      <c r="E1393" s="349"/>
    </row>
    <row r="1394" spans="1:5" ht="15">
      <c r="A1394" s="151"/>
      <c r="B1394" s="347"/>
      <c r="C1394" s="108"/>
      <c r="D1394" s="108"/>
      <c r="E1394" s="349"/>
    </row>
    <row r="1395" spans="1:5" ht="15">
      <c r="A1395" s="151"/>
      <c r="B1395" s="347"/>
      <c r="C1395" s="108"/>
      <c r="D1395" s="108"/>
      <c r="E1395" s="349"/>
    </row>
    <row r="1396" spans="1:5" ht="15">
      <c r="A1396" s="151"/>
      <c r="B1396" s="347"/>
      <c r="C1396" s="108"/>
      <c r="D1396" s="108"/>
      <c r="E1396" s="349"/>
    </row>
    <row r="1397" spans="1:5" ht="15">
      <c r="A1397" s="151"/>
      <c r="B1397" s="347"/>
      <c r="C1397" s="108"/>
      <c r="D1397" s="108"/>
      <c r="E1397" s="349"/>
    </row>
    <row r="1398" spans="1:5" ht="15">
      <c r="A1398" s="151"/>
      <c r="B1398" s="347"/>
      <c r="C1398" s="108"/>
      <c r="D1398" s="108"/>
      <c r="E1398" s="349"/>
    </row>
    <row r="1399" spans="1:5" ht="15">
      <c r="A1399" s="151"/>
      <c r="B1399" s="347"/>
      <c r="C1399" s="108"/>
      <c r="D1399" s="108"/>
      <c r="E1399" s="349"/>
    </row>
    <row r="1400" spans="1:5" ht="15">
      <c r="A1400" s="151"/>
      <c r="B1400" s="347"/>
      <c r="C1400" s="108"/>
      <c r="D1400" s="108"/>
      <c r="E1400" s="349"/>
    </row>
    <row r="1401" spans="1:5" ht="15">
      <c r="A1401" s="151"/>
      <c r="B1401" s="347"/>
      <c r="C1401" s="108"/>
      <c r="D1401" s="108"/>
      <c r="E1401" s="349"/>
    </row>
    <row r="1402" spans="1:5" ht="15">
      <c r="A1402" s="151"/>
      <c r="B1402" s="347"/>
      <c r="C1402" s="108"/>
      <c r="D1402" s="108"/>
      <c r="E1402" s="349"/>
    </row>
    <row r="1403" spans="1:5" ht="15">
      <c r="A1403" s="151"/>
      <c r="B1403" s="347"/>
      <c r="C1403" s="108"/>
      <c r="D1403" s="108"/>
      <c r="E1403" s="349"/>
    </row>
    <row r="1404" spans="1:5" ht="15">
      <c r="A1404" s="151"/>
      <c r="B1404" s="347"/>
      <c r="C1404" s="108"/>
      <c r="D1404" s="108"/>
      <c r="E1404" s="349"/>
    </row>
    <row r="1405" spans="1:5" ht="15">
      <c r="A1405" s="151"/>
      <c r="B1405" s="347"/>
      <c r="C1405" s="108"/>
      <c r="D1405" s="108"/>
      <c r="E1405" s="349"/>
    </row>
    <row r="1406" spans="1:5" ht="15">
      <c r="A1406" s="151"/>
      <c r="B1406" s="347"/>
      <c r="C1406" s="108"/>
      <c r="D1406" s="108"/>
      <c r="E1406" s="349"/>
    </row>
    <row r="1407" spans="1:5" ht="15">
      <c r="A1407" s="151"/>
      <c r="B1407" s="347"/>
      <c r="C1407" s="108"/>
      <c r="D1407" s="108"/>
      <c r="E1407" s="349"/>
    </row>
    <row r="1408" spans="1:5" ht="15">
      <c r="A1408" s="151"/>
      <c r="B1408" s="347"/>
      <c r="C1408" s="108"/>
      <c r="D1408" s="108"/>
      <c r="E1408" s="349"/>
    </row>
    <row r="1409" spans="1:5" ht="15">
      <c r="A1409" s="151"/>
      <c r="B1409" s="347"/>
      <c r="C1409" s="108"/>
      <c r="D1409" s="108"/>
      <c r="E1409" s="349"/>
    </row>
    <row r="1410" spans="1:5" ht="15">
      <c r="A1410" s="151"/>
      <c r="B1410" s="347"/>
      <c r="C1410" s="108"/>
      <c r="D1410" s="108"/>
      <c r="E1410" s="349"/>
    </row>
    <row r="1411" spans="1:5" ht="15">
      <c r="A1411" s="151"/>
      <c r="B1411" s="347"/>
      <c r="C1411" s="108"/>
      <c r="D1411" s="108"/>
      <c r="E1411" s="349"/>
    </row>
    <row r="1412" spans="1:5" ht="15">
      <c r="A1412" s="151"/>
      <c r="B1412" s="347"/>
      <c r="C1412" s="108"/>
      <c r="D1412" s="108"/>
      <c r="E1412" s="349"/>
    </row>
    <row r="1413" spans="1:5" ht="15">
      <c r="A1413" s="151"/>
      <c r="B1413" s="347"/>
      <c r="C1413" s="108"/>
      <c r="D1413" s="108"/>
      <c r="E1413" s="349"/>
    </row>
    <row r="1414" spans="1:5" ht="15">
      <c r="A1414" s="151"/>
      <c r="B1414" s="347"/>
      <c r="C1414" s="108"/>
      <c r="D1414" s="108"/>
      <c r="E1414" s="349"/>
    </row>
    <row r="1415" spans="1:5" ht="15">
      <c r="A1415" s="151"/>
      <c r="B1415" s="347"/>
      <c r="C1415" s="108"/>
      <c r="D1415" s="108"/>
      <c r="E1415" s="349"/>
    </row>
    <row r="1416" spans="1:5" ht="15">
      <c r="A1416" s="151"/>
      <c r="B1416" s="347"/>
      <c r="C1416" s="108"/>
      <c r="D1416" s="108"/>
      <c r="E1416" s="349"/>
    </row>
    <row r="1417" spans="1:5" ht="15">
      <c r="A1417" s="151"/>
      <c r="B1417" s="347"/>
      <c r="C1417" s="108"/>
      <c r="D1417" s="108"/>
      <c r="E1417" s="349"/>
    </row>
    <row r="1418" spans="1:5" ht="15">
      <c r="A1418" s="151"/>
      <c r="B1418" s="347"/>
      <c r="C1418" s="108"/>
      <c r="D1418" s="108"/>
      <c r="E1418" s="349"/>
    </row>
    <row r="1419" spans="1:5" ht="15">
      <c r="A1419" s="151"/>
      <c r="B1419" s="347"/>
      <c r="C1419" s="108"/>
      <c r="D1419" s="108"/>
      <c r="E1419" s="349"/>
    </row>
    <row r="1420" spans="1:5" ht="15">
      <c r="A1420" s="151"/>
      <c r="B1420" s="347"/>
      <c r="C1420" s="108"/>
      <c r="D1420" s="108"/>
      <c r="E1420" s="349"/>
    </row>
    <row r="1421" spans="1:5" ht="15">
      <c r="A1421" s="151"/>
      <c r="B1421" s="347"/>
      <c r="C1421" s="108"/>
      <c r="D1421" s="108"/>
      <c r="E1421" s="349"/>
    </row>
    <row r="1422" spans="1:5" ht="15">
      <c r="A1422" s="151"/>
      <c r="B1422" s="347"/>
      <c r="C1422" s="108"/>
      <c r="D1422" s="108"/>
      <c r="E1422" s="349"/>
    </row>
    <row r="1423" spans="1:5" ht="15">
      <c r="A1423" s="151"/>
      <c r="B1423" s="347"/>
      <c r="C1423" s="108"/>
      <c r="D1423" s="108"/>
      <c r="E1423" s="349"/>
    </row>
    <row r="1424" spans="1:5" ht="15">
      <c r="A1424" s="151"/>
      <c r="B1424" s="347"/>
      <c r="C1424" s="108"/>
      <c r="D1424" s="108"/>
      <c r="E1424" s="349"/>
    </row>
    <row r="1425" spans="1:5" ht="15">
      <c r="A1425" s="151"/>
      <c r="B1425" s="347"/>
      <c r="C1425" s="108"/>
      <c r="D1425" s="108"/>
      <c r="E1425" s="349"/>
    </row>
    <row r="1426" spans="1:5" ht="15">
      <c r="A1426" s="151"/>
      <c r="B1426" s="347"/>
      <c r="C1426" s="108"/>
      <c r="D1426" s="108"/>
      <c r="E1426" s="349"/>
    </row>
    <row r="1427" spans="1:5" ht="15">
      <c r="A1427" s="151"/>
      <c r="B1427" s="347"/>
      <c r="C1427" s="108"/>
      <c r="D1427" s="108"/>
      <c r="E1427" s="349"/>
    </row>
    <row r="1428" spans="1:5" ht="15">
      <c r="A1428" s="151"/>
      <c r="B1428" s="347"/>
      <c r="C1428" s="108"/>
      <c r="D1428" s="108"/>
      <c r="E1428" s="349"/>
    </row>
    <row r="1429" spans="1:5" ht="15">
      <c r="A1429" s="151"/>
      <c r="B1429" s="347"/>
      <c r="C1429" s="108"/>
      <c r="D1429" s="108"/>
      <c r="E1429" s="349"/>
    </row>
    <row r="1430" spans="1:5" ht="15">
      <c r="A1430" s="151"/>
      <c r="B1430" s="347"/>
      <c r="C1430" s="108"/>
      <c r="D1430" s="108"/>
      <c r="E1430" s="349"/>
    </row>
    <row r="1431" spans="1:5" ht="15">
      <c r="A1431" s="151"/>
      <c r="B1431" s="347"/>
      <c r="C1431" s="108"/>
      <c r="D1431" s="108"/>
      <c r="E1431" s="349"/>
    </row>
    <row r="1432" spans="1:5" ht="15">
      <c r="A1432" s="151"/>
      <c r="B1432" s="347"/>
      <c r="C1432" s="108"/>
      <c r="D1432" s="108"/>
      <c r="E1432" s="349"/>
    </row>
    <row r="1433" spans="1:5" ht="15">
      <c r="A1433" s="151"/>
      <c r="B1433" s="347"/>
      <c r="C1433" s="108"/>
      <c r="D1433" s="108"/>
      <c r="E1433" s="349"/>
    </row>
    <row r="1434" spans="1:5" ht="15">
      <c r="A1434" s="151"/>
      <c r="B1434" s="347"/>
      <c r="C1434" s="108"/>
      <c r="D1434" s="108"/>
      <c r="E1434" s="349"/>
    </row>
    <row r="1435" spans="1:5" ht="15">
      <c r="A1435" s="151"/>
      <c r="B1435" s="347"/>
      <c r="C1435" s="108"/>
      <c r="D1435" s="108"/>
      <c r="E1435" s="349"/>
    </row>
    <row r="1436" spans="1:5" ht="15">
      <c r="A1436" s="151"/>
      <c r="B1436" s="347"/>
      <c r="C1436" s="108"/>
      <c r="D1436" s="108"/>
      <c r="E1436" s="349"/>
    </row>
    <row r="1437" spans="1:5" ht="15">
      <c r="A1437" s="151"/>
      <c r="B1437" s="347"/>
      <c r="C1437" s="108"/>
      <c r="D1437" s="108"/>
      <c r="E1437" s="349"/>
    </row>
    <row r="1438" spans="1:5" ht="15">
      <c r="A1438" s="151"/>
      <c r="B1438" s="347"/>
      <c r="C1438" s="108"/>
      <c r="D1438" s="108"/>
      <c r="E1438" s="349"/>
    </row>
    <row r="1439" spans="1:5" ht="15">
      <c r="A1439" s="151"/>
      <c r="B1439" s="347"/>
      <c r="C1439" s="108"/>
      <c r="D1439" s="108"/>
      <c r="E1439" s="349"/>
    </row>
    <row r="1440" spans="1:5" ht="15">
      <c r="A1440" s="151"/>
      <c r="B1440" s="347"/>
      <c r="C1440" s="108"/>
      <c r="D1440" s="108"/>
      <c r="E1440" s="349"/>
    </row>
    <row r="1441" spans="1:5" ht="15">
      <c r="A1441" s="151"/>
      <c r="B1441" s="347"/>
      <c r="C1441" s="108"/>
      <c r="D1441" s="108"/>
      <c r="E1441" s="349"/>
    </row>
    <row r="1442" spans="1:5" ht="15">
      <c r="A1442" s="151"/>
      <c r="B1442" s="347"/>
      <c r="C1442" s="108"/>
      <c r="D1442" s="108"/>
      <c r="E1442" s="349"/>
    </row>
    <row r="1443" spans="1:5" ht="15">
      <c r="A1443" s="151"/>
      <c r="B1443" s="347"/>
      <c r="C1443" s="108"/>
      <c r="D1443" s="108"/>
      <c r="E1443" s="349"/>
    </row>
    <row r="1444" spans="1:5" ht="15">
      <c r="A1444" s="151"/>
      <c r="B1444" s="347"/>
      <c r="C1444" s="108"/>
      <c r="D1444" s="108"/>
      <c r="E1444" s="349"/>
    </row>
    <row r="1445" spans="1:5" ht="15">
      <c r="A1445" s="151"/>
      <c r="B1445" s="347"/>
      <c r="C1445" s="108"/>
      <c r="D1445" s="108"/>
      <c r="E1445" s="349"/>
    </row>
    <row r="1446" spans="1:5" ht="15">
      <c r="A1446" s="151"/>
      <c r="B1446" s="347"/>
      <c r="C1446" s="108"/>
      <c r="D1446" s="108"/>
      <c r="E1446" s="349"/>
    </row>
    <row r="1447" spans="1:5" ht="15">
      <c r="A1447" s="151"/>
      <c r="B1447" s="347"/>
      <c r="C1447" s="108"/>
      <c r="D1447" s="108"/>
      <c r="E1447" s="349"/>
    </row>
    <row r="1448" spans="1:5" ht="15">
      <c r="A1448" s="151"/>
      <c r="B1448" s="347"/>
      <c r="C1448" s="108"/>
      <c r="D1448" s="108"/>
      <c r="E1448" s="349"/>
    </row>
    <row r="1449" spans="1:5" ht="15">
      <c r="A1449" s="151"/>
      <c r="B1449" s="347"/>
      <c r="C1449" s="108"/>
      <c r="D1449" s="108"/>
      <c r="E1449" s="349"/>
    </row>
    <row r="1450" spans="1:5" ht="15">
      <c r="A1450" s="151"/>
      <c r="B1450" s="347"/>
      <c r="C1450" s="108"/>
      <c r="D1450" s="108"/>
      <c r="E1450" s="349"/>
    </row>
    <row r="1451" spans="1:5" ht="15">
      <c r="A1451" s="151"/>
      <c r="B1451" s="347"/>
      <c r="C1451" s="108"/>
      <c r="D1451" s="108"/>
      <c r="E1451" s="349"/>
    </row>
    <row r="1452" spans="1:5" ht="15">
      <c r="A1452" s="151"/>
      <c r="B1452" s="347"/>
      <c r="C1452" s="108"/>
      <c r="D1452" s="108"/>
      <c r="E1452" s="349"/>
    </row>
    <row r="1453" spans="1:5" ht="15">
      <c r="A1453" s="151"/>
      <c r="B1453" s="347"/>
      <c r="C1453" s="108"/>
      <c r="D1453" s="108"/>
      <c r="E1453" s="349"/>
    </row>
    <row r="1454" spans="1:5" ht="15">
      <c r="A1454" s="151"/>
      <c r="B1454" s="347"/>
      <c r="C1454" s="108"/>
      <c r="D1454" s="108"/>
      <c r="E1454" s="349"/>
    </row>
    <row r="1455" spans="1:5" ht="15">
      <c r="A1455" s="151"/>
      <c r="B1455" s="347"/>
      <c r="C1455" s="108"/>
      <c r="D1455" s="108"/>
      <c r="E1455" s="349"/>
    </row>
    <row r="1456" spans="1:5" ht="15">
      <c r="A1456" s="151"/>
      <c r="B1456" s="347"/>
      <c r="C1456" s="108"/>
      <c r="D1456" s="108"/>
      <c r="E1456" s="349"/>
    </row>
    <row r="1457" spans="1:5" ht="15">
      <c r="A1457" s="151"/>
      <c r="B1457" s="347"/>
      <c r="C1457" s="108"/>
      <c r="D1457" s="108"/>
      <c r="E1457" s="349"/>
    </row>
    <row r="1458" spans="1:5" ht="15">
      <c r="A1458" s="151"/>
      <c r="B1458" s="347"/>
      <c r="C1458" s="108"/>
      <c r="D1458" s="108"/>
      <c r="E1458" s="349"/>
    </row>
    <row r="1459" spans="1:5" ht="15">
      <c r="A1459" s="151"/>
      <c r="B1459" s="347"/>
      <c r="C1459" s="108"/>
      <c r="D1459" s="108"/>
      <c r="E1459" s="349"/>
    </row>
    <row r="1460" spans="1:5" ht="15">
      <c r="A1460" s="151"/>
      <c r="B1460" s="347"/>
      <c r="C1460" s="108"/>
      <c r="D1460" s="108"/>
      <c r="E1460" s="349"/>
    </row>
    <row r="1461" spans="1:5" ht="15">
      <c r="A1461" s="151"/>
      <c r="B1461" s="347"/>
      <c r="C1461" s="108"/>
      <c r="D1461" s="108"/>
      <c r="E1461" s="349"/>
    </row>
    <row r="1462" spans="1:5" ht="15">
      <c r="A1462" s="151"/>
      <c r="B1462" s="347"/>
      <c r="C1462" s="108"/>
      <c r="D1462" s="108"/>
      <c r="E1462" s="349"/>
    </row>
    <row r="1463" spans="1:5" ht="15">
      <c r="A1463" s="151"/>
      <c r="B1463" s="347"/>
      <c r="C1463" s="108"/>
      <c r="D1463" s="108"/>
      <c r="E1463" s="349"/>
    </row>
    <row r="1464" spans="1:5" ht="15">
      <c r="A1464" s="151"/>
      <c r="B1464" s="347"/>
      <c r="C1464" s="108"/>
      <c r="D1464" s="108"/>
      <c r="E1464" s="349"/>
    </row>
    <row r="1465" spans="1:5" ht="15">
      <c r="A1465" s="151"/>
      <c r="B1465" s="347"/>
      <c r="C1465" s="108"/>
      <c r="D1465" s="108"/>
      <c r="E1465" s="349"/>
    </row>
    <row r="1466" spans="1:5" ht="15">
      <c r="A1466" s="151"/>
      <c r="B1466" s="347"/>
      <c r="C1466" s="108"/>
      <c r="D1466" s="108"/>
      <c r="E1466" s="349"/>
    </row>
    <row r="1467" spans="1:5" ht="15">
      <c r="A1467" s="151"/>
      <c r="B1467" s="347"/>
      <c r="C1467" s="108"/>
      <c r="D1467" s="108"/>
      <c r="E1467" s="349"/>
    </row>
    <row r="1468" spans="1:5" ht="15">
      <c r="A1468" s="151"/>
      <c r="B1468" s="347"/>
      <c r="C1468" s="108"/>
      <c r="D1468" s="108"/>
      <c r="E1468" s="349"/>
    </row>
    <row r="1469" spans="1:5" ht="15">
      <c r="A1469" s="151"/>
      <c r="B1469" s="347"/>
      <c r="C1469" s="108"/>
      <c r="D1469" s="108"/>
      <c r="E1469" s="349"/>
    </row>
    <row r="1470" spans="1:5" ht="15">
      <c r="A1470" s="151"/>
      <c r="B1470" s="347"/>
      <c r="C1470" s="108"/>
      <c r="D1470" s="108"/>
      <c r="E1470" s="349"/>
    </row>
    <row r="1471" spans="1:5" ht="15">
      <c r="A1471" s="151"/>
      <c r="B1471" s="347"/>
      <c r="C1471" s="108"/>
      <c r="D1471" s="108"/>
      <c r="E1471" s="349"/>
    </row>
    <row r="1472" spans="1:5" ht="15">
      <c r="A1472" s="151"/>
      <c r="B1472" s="347"/>
      <c r="C1472" s="108"/>
      <c r="D1472" s="108"/>
      <c r="E1472" s="349"/>
    </row>
    <row r="1473" spans="1:5" ht="15">
      <c r="A1473" s="151"/>
      <c r="B1473" s="347"/>
      <c r="C1473" s="108"/>
      <c r="D1473" s="108"/>
      <c r="E1473" s="349"/>
    </row>
    <row r="1474" spans="1:5" ht="15">
      <c r="A1474" s="151"/>
      <c r="B1474" s="347"/>
      <c r="C1474" s="108"/>
      <c r="D1474" s="108"/>
      <c r="E1474" s="349"/>
    </row>
    <row r="1475" spans="1:5" ht="15">
      <c r="A1475" s="151"/>
      <c r="B1475" s="347"/>
      <c r="C1475" s="108"/>
      <c r="D1475" s="108"/>
      <c r="E1475" s="349"/>
    </row>
    <row r="1476" spans="1:5" ht="15">
      <c r="A1476" s="151"/>
      <c r="B1476" s="347"/>
      <c r="C1476" s="108"/>
      <c r="D1476" s="108"/>
      <c r="E1476" s="349"/>
    </row>
    <row r="1477" spans="1:5" ht="15">
      <c r="A1477" s="151"/>
      <c r="B1477" s="347"/>
      <c r="C1477" s="108"/>
      <c r="D1477" s="108"/>
      <c r="E1477" s="349"/>
    </row>
    <row r="1478" spans="1:5" ht="15">
      <c r="A1478" s="151"/>
      <c r="B1478" s="347"/>
      <c r="C1478" s="108"/>
      <c r="D1478" s="108"/>
      <c r="E1478" s="349"/>
    </row>
    <row r="1479" spans="1:5" ht="15">
      <c r="A1479" s="151"/>
      <c r="B1479" s="347"/>
      <c r="C1479" s="108"/>
      <c r="D1479" s="108"/>
      <c r="E1479" s="349"/>
    </row>
    <row r="1480" spans="1:5" ht="15">
      <c r="A1480" s="151"/>
      <c r="B1480" s="347"/>
      <c r="C1480" s="108"/>
      <c r="D1480" s="108"/>
      <c r="E1480" s="349"/>
    </row>
    <row r="1481" spans="1:5" ht="15">
      <c r="A1481" s="151"/>
      <c r="B1481" s="347"/>
      <c r="C1481" s="108"/>
      <c r="D1481" s="108"/>
      <c r="E1481" s="349"/>
    </row>
    <row r="1482" spans="1:5" ht="15">
      <c r="A1482" s="151"/>
      <c r="B1482" s="347"/>
      <c r="C1482" s="108"/>
      <c r="D1482" s="108"/>
      <c r="E1482" s="349"/>
    </row>
    <row r="1483" spans="1:5" ht="15">
      <c r="A1483" s="151"/>
      <c r="B1483" s="347"/>
      <c r="C1483" s="108"/>
      <c r="D1483" s="108"/>
      <c r="E1483" s="349"/>
    </row>
    <row r="1484" spans="1:5" ht="15">
      <c r="A1484" s="151"/>
      <c r="B1484" s="347"/>
      <c r="C1484" s="108"/>
      <c r="D1484" s="108"/>
      <c r="E1484" s="349"/>
    </row>
    <row r="1485" spans="1:5" ht="15">
      <c r="A1485" s="151"/>
      <c r="B1485" s="347"/>
      <c r="C1485" s="108"/>
      <c r="D1485" s="108"/>
      <c r="E1485" s="349"/>
    </row>
    <row r="1486" spans="1:5" ht="15">
      <c r="A1486" s="151"/>
      <c r="B1486" s="347"/>
      <c r="C1486" s="108"/>
      <c r="D1486" s="108"/>
      <c r="E1486" s="349"/>
    </row>
    <row r="1487" spans="1:5" ht="15">
      <c r="A1487" s="151"/>
      <c r="B1487" s="347"/>
      <c r="C1487" s="108"/>
      <c r="D1487" s="108"/>
      <c r="E1487" s="349"/>
    </row>
    <row r="1488" spans="1:5" ht="15">
      <c r="A1488" s="151"/>
      <c r="B1488" s="347"/>
      <c r="C1488" s="108"/>
      <c r="D1488" s="108"/>
      <c r="E1488" s="349"/>
    </row>
    <row r="1489" spans="1:5" ht="15">
      <c r="A1489" s="151"/>
      <c r="B1489" s="347"/>
      <c r="C1489" s="108"/>
      <c r="D1489" s="108"/>
      <c r="E1489" s="349"/>
    </row>
    <row r="1490" spans="1:5" ht="15">
      <c r="A1490" s="151"/>
      <c r="B1490" s="347"/>
      <c r="C1490" s="108"/>
      <c r="D1490" s="108"/>
      <c r="E1490" s="349"/>
    </row>
    <row r="1491" spans="1:5" ht="15">
      <c r="A1491" s="151"/>
      <c r="B1491" s="347"/>
      <c r="C1491" s="108"/>
      <c r="D1491" s="108"/>
      <c r="E1491" s="349"/>
    </row>
    <row r="1492" spans="1:5" ht="15">
      <c r="A1492" s="151"/>
      <c r="B1492" s="347"/>
      <c r="C1492" s="108"/>
      <c r="D1492" s="108"/>
      <c r="E1492" s="349"/>
    </row>
    <row r="1493" spans="1:5" ht="15">
      <c r="A1493" s="151"/>
      <c r="B1493" s="347"/>
      <c r="C1493" s="108"/>
      <c r="D1493" s="108"/>
      <c r="E1493" s="349"/>
    </row>
    <row r="1494" spans="1:5" ht="15">
      <c r="A1494" s="151"/>
      <c r="B1494" s="347"/>
      <c r="C1494" s="108"/>
      <c r="D1494" s="108"/>
      <c r="E1494" s="349"/>
    </row>
    <row r="1495" spans="1:5" ht="15">
      <c r="A1495" s="151"/>
      <c r="B1495" s="347"/>
      <c r="C1495" s="108"/>
      <c r="D1495" s="108"/>
      <c r="E1495" s="349"/>
    </row>
    <row r="1496" spans="1:5" ht="15">
      <c r="A1496" s="151"/>
      <c r="B1496" s="347"/>
      <c r="C1496" s="108"/>
      <c r="D1496" s="108"/>
      <c r="E1496" s="349"/>
    </row>
    <row r="1497" spans="1:5" ht="15">
      <c r="A1497" s="151"/>
      <c r="B1497" s="347"/>
      <c r="C1497" s="108"/>
      <c r="D1497" s="108"/>
      <c r="E1497" s="349"/>
    </row>
    <row r="1498" spans="1:5" ht="15">
      <c r="A1498" s="151"/>
      <c r="B1498" s="347"/>
      <c r="C1498" s="108"/>
      <c r="D1498" s="108"/>
      <c r="E1498" s="349"/>
    </row>
    <row r="1499" spans="1:5" ht="15">
      <c r="A1499" s="151"/>
      <c r="B1499" s="347"/>
      <c r="C1499" s="108"/>
      <c r="D1499" s="108"/>
      <c r="E1499" s="349"/>
    </row>
    <row r="1500" spans="1:5" ht="15">
      <c r="A1500" s="151"/>
      <c r="B1500" s="347"/>
      <c r="C1500" s="108"/>
      <c r="D1500" s="108"/>
      <c r="E1500" s="349"/>
    </row>
    <row r="1501" spans="1:5" ht="15">
      <c r="A1501" s="151"/>
      <c r="B1501" s="347"/>
      <c r="C1501" s="108"/>
      <c r="D1501" s="108"/>
      <c r="E1501" s="349"/>
    </row>
    <row r="1502" spans="1:5" ht="15">
      <c r="A1502" s="151"/>
      <c r="B1502" s="347"/>
      <c r="C1502" s="108"/>
      <c r="D1502" s="108"/>
      <c r="E1502" s="349"/>
    </row>
    <row r="1503" spans="1:5" ht="15">
      <c r="A1503" s="151"/>
      <c r="B1503" s="347"/>
      <c r="C1503" s="108"/>
      <c r="D1503" s="108"/>
      <c r="E1503" s="349"/>
    </row>
    <row r="1504" spans="1:5" ht="15">
      <c r="A1504" s="151"/>
      <c r="B1504" s="347"/>
      <c r="C1504" s="108"/>
      <c r="D1504" s="108"/>
      <c r="E1504" s="349"/>
    </row>
    <row r="1505" spans="1:5" ht="15">
      <c r="A1505" s="151"/>
      <c r="B1505" s="347"/>
      <c r="C1505" s="108"/>
      <c r="D1505" s="108"/>
      <c r="E1505" s="349"/>
    </row>
    <row r="1506" spans="1:5" ht="15">
      <c r="A1506" s="151"/>
      <c r="B1506" s="347"/>
      <c r="C1506" s="108"/>
      <c r="D1506" s="108"/>
      <c r="E1506" s="349"/>
    </row>
    <row r="1507" spans="1:5" ht="15">
      <c r="A1507" s="151"/>
      <c r="B1507" s="347"/>
      <c r="C1507" s="108"/>
      <c r="D1507" s="108"/>
      <c r="E1507" s="349"/>
    </row>
    <row r="1508" spans="1:5" ht="15">
      <c r="A1508" s="151"/>
      <c r="B1508" s="347"/>
      <c r="C1508" s="108"/>
      <c r="D1508" s="108"/>
      <c r="E1508" s="349"/>
    </row>
    <row r="1509" spans="1:5" ht="15">
      <c r="A1509" s="151"/>
      <c r="B1509" s="347"/>
      <c r="C1509" s="108"/>
      <c r="D1509" s="108"/>
      <c r="E1509" s="349"/>
    </row>
    <row r="1510" spans="1:5" ht="15">
      <c r="A1510" s="151"/>
      <c r="B1510" s="347"/>
      <c r="C1510" s="108"/>
      <c r="D1510" s="108"/>
      <c r="E1510" s="349"/>
    </row>
    <row r="1511" spans="1:5" ht="15">
      <c r="A1511" s="151"/>
      <c r="B1511" s="347"/>
      <c r="C1511" s="108"/>
      <c r="D1511" s="108"/>
      <c r="E1511" s="349"/>
    </row>
    <row r="1512" spans="1:5" ht="15">
      <c r="A1512" s="151"/>
      <c r="B1512" s="347"/>
      <c r="C1512" s="108"/>
      <c r="D1512" s="108"/>
      <c r="E1512" s="349"/>
    </row>
    <row r="1513" spans="1:5" ht="15">
      <c r="A1513" s="151"/>
      <c r="B1513" s="347"/>
      <c r="C1513" s="108"/>
      <c r="D1513" s="108"/>
      <c r="E1513" s="349"/>
    </row>
    <row r="1514" spans="1:5" ht="15">
      <c r="A1514" s="151"/>
      <c r="B1514" s="347"/>
      <c r="C1514" s="108"/>
      <c r="D1514" s="108"/>
      <c r="E1514" s="349"/>
    </row>
    <row r="1515" spans="1:5" ht="15">
      <c r="A1515" s="151"/>
      <c r="B1515" s="347"/>
      <c r="C1515" s="108"/>
      <c r="D1515" s="108"/>
      <c r="E1515" s="349"/>
    </row>
    <row r="1516" spans="1:5" ht="15">
      <c r="A1516" s="151"/>
      <c r="B1516" s="347"/>
      <c r="C1516" s="108"/>
      <c r="D1516" s="108"/>
      <c r="E1516" s="349"/>
    </row>
    <row r="1517" spans="1:5" ht="15">
      <c r="A1517" s="151"/>
      <c r="B1517" s="347"/>
      <c r="C1517" s="108"/>
      <c r="D1517" s="108"/>
      <c r="E1517" s="349"/>
    </row>
    <row r="1518" spans="1:5" ht="15">
      <c r="A1518" s="151"/>
      <c r="B1518" s="347"/>
      <c r="C1518" s="108"/>
      <c r="D1518" s="108"/>
      <c r="E1518" s="349"/>
    </row>
    <row r="1519" spans="1:5" ht="15">
      <c r="A1519" s="151"/>
      <c r="B1519" s="347"/>
      <c r="C1519" s="108"/>
      <c r="D1519" s="108"/>
      <c r="E1519" s="349"/>
    </row>
    <row r="1520" spans="1:5" ht="15">
      <c r="A1520" s="151"/>
      <c r="B1520" s="347"/>
      <c r="C1520" s="108"/>
      <c r="D1520" s="108"/>
      <c r="E1520" s="349"/>
    </row>
    <row r="1521" spans="1:5" ht="15">
      <c r="A1521" s="151"/>
      <c r="B1521" s="347"/>
      <c r="C1521" s="108"/>
      <c r="D1521" s="108"/>
      <c r="E1521" s="349"/>
    </row>
    <row r="1522" spans="1:5" ht="15">
      <c r="A1522" s="151"/>
      <c r="B1522" s="347"/>
      <c r="C1522" s="108"/>
      <c r="D1522" s="108"/>
      <c r="E1522" s="349"/>
    </row>
    <row r="1523" spans="1:5" ht="15">
      <c r="A1523" s="151"/>
      <c r="B1523" s="347"/>
      <c r="C1523" s="108"/>
      <c r="D1523" s="108"/>
      <c r="E1523" s="349"/>
    </row>
    <row r="1524" spans="1:5" ht="15">
      <c r="A1524" s="151"/>
      <c r="B1524" s="347"/>
      <c r="C1524" s="108"/>
      <c r="D1524" s="108"/>
      <c r="E1524" s="349"/>
    </row>
    <row r="1525" spans="1:5" ht="15">
      <c r="A1525" s="151"/>
      <c r="B1525" s="347"/>
      <c r="C1525" s="108"/>
      <c r="D1525" s="108"/>
      <c r="E1525" s="349"/>
    </row>
    <row r="1526" spans="1:5" ht="15">
      <c r="A1526" s="151"/>
      <c r="B1526" s="347"/>
      <c r="C1526" s="108"/>
      <c r="D1526" s="108"/>
      <c r="E1526" s="349"/>
    </row>
    <row r="1527" spans="1:5" ht="15">
      <c r="A1527" s="151"/>
      <c r="B1527" s="347"/>
      <c r="C1527" s="108"/>
      <c r="D1527" s="108"/>
      <c r="E1527" s="349"/>
    </row>
    <row r="1528" spans="1:5" ht="15">
      <c r="A1528" s="151"/>
      <c r="B1528" s="347"/>
      <c r="C1528" s="108"/>
      <c r="D1528" s="108"/>
      <c r="E1528" s="349"/>
    </row>
    <row r="1529" spans="1:5" ht="15">
      <c r="A1529" s="151"/>
      <c r="B1529" s="347"/>
      <c r="C1529" s="108"/>
      <c r="D1529" s="108"/>
      <c r="E1529" s="349"/>
    </row>
    <row r="1530" spans="1:5" ht="15">
      <c r="A1530" s="151"/>
      <c r="B1530" s="347"/>
      <c r="C1530" s="108"/>
      <c r="D1530" s="108"/>
      <c r="E1530" s="349"/>
    </row>
    <row r="1531" spans="1:5" ht="15">
      <c r="A1531" s="151"/>
      <c r="B1531" s="347"/>
      <c r="C1531" s="108"/>
      <c r="D1531" s="108"/>
      <c r="E1531" s="349"/>
    </row>
    <row r="1532" spans="1:5" ht="15">
      <c r="A1532" s="151"/>
      <c r="B1532" s="347"/>
      <c r="C1532" s="108"/>
      <c r="D1532" s="108"/>
      <c r="E1532" s="349"/>
    </row>
    <row r="1533" spans="1:5" ht="15">
      <c r="A1533" s="151"/>
      <c r="B1533" s="347"/>
      <c r="C1533" s="108"/>
      <c r="D1533" s="108"/>
      <c r="E1533" s="349"/>
    </row>
    <row r="1534" spans="1:5" ht="15">
      <c r="A1534" s="151"/>
      <c r="B1534" s="347"/>
      <c r="C1534" s="108"/>
      <c r="D1534" s="108"/>
      <c r="E1534" s="349"/>
    </row>
    <row r="1535" spans="1:5" ht="15">
      <c r="A1535" s="151"/>
      <c r="B1535" s="347"/>
      <c r="C1535" s="108"/>
      <c r="D1535" s="108"/>
      <c r="E1535" s="349"/>
    </row>
    <row r="1536" spans="1:5" ht="15">
      <c r="A1536" s="151"/>
      <c r="B1536" s="347"/>
      <c r="C1536" s="108"/>
      <c r="D1536" s="108"/>
      <c r="E1536" s="349"/>
    </row>
    <row r="1537" spans="1:5" ht="15">
      <c r="A1537" s="151"/>
      <c r="B1537" s="347"/>
      <c r="C1537" s="108"/>
      <c r="D1537" s="108"/>
      <c r="E1537" s="349"/>
    </row>
    <row r="1538" spans="1:5" ht="15">
      <c r="A1538" s="151"/>
      <c r="B1538" s="347"/>
      <c r="C1538" s="108"/>
      <c r="D1538" s="108"/>
      <c r="E1538" s="349"/>
    </row>
    <row r="1539" spans="1:5" ht="15">
      <c r="A1539" s="151"/>
      <c r="B1539" s="347"/>
      <c r="C1539" s="108"/>
      <c r="D1539" s="108"/>
      <c r="E1539" s="349"/>
    </row>
    <row r="1540" spans="1:5" ht="15">
      <c r="A1540" s="151"/>
      <c r="B1540" s="347"/>
      <c r="C1540" s="108"/>
      <c r="D1540" s="108"/>
      <c r="E1540" s="349"/>
    </row>
    <row r="1541" spans="1:5" ht="15">
      <c r="A1541" s="151"/>
      <c r="B1541" s="347"/>
      <c r="C1541" s="108"/>
      <c r="D1541" s="108"/>
      <c r="E1541" s="349"/>
    </row>
    <row r="1542" spans="1:5" ht="15">
      <c r="A1542" s="151"/>
      <c r="B1542" s="347"/>
      <c r="C1542" s="108"/>
      <c r="D1542" s="108"/>
      <c r="E1542" s="349"/>
    </row>
    <row r="1543" spans="1:5" ht="15">
      <c r="A1543" s="151"/>
      <c r="B1543" s="347"/>
      <c r="C1543" s="108"/>
      <c r="D1543" s="108"/>
      <c r="E1543" s="349"/>
    </row>
    <row r="1544" spans="1:5" ht="15">
      <c r="A1544" s="151"/>
      <c r="B1544" s="347"/>
      <c r="C1544" s="108"/>
      <c r="D1544" s="108"/>
      <c r="E1544" s="349"/>
    </row>
    <row r="1545" spans="1:5" ht="15">
      <c r="A1545" s="151"/>
      <c r="B1545" s="347"/>
      <c r="C1545" s="108"/>
      <c r="D1545" s="108"/>
      <c r="E1545" s="349"/>
    </row>
    <row r="1546" spans="1:5" ht="15">
      <c r="A1546" s="151"/>
      <c r="B1546" s="347"/>
      <c r="C1546" s="108"/>
      <c r="D1546" s="108"/>
      <c r="E1546" s="349"/>
    </row>
    <row r="1547" spans="1:5" ht="15">
      <c r="A1547" s="151"/>
      <c r="B1547" s="347"/>
      <c r="C1547" s="108"/>
      <c r="D1547" s="108"/>
      <c r="E1547" s="349"/>
    </row>
    <row r="1548" spans="1:5" ht="15">
      <c r="A1548" s="151"/>
      <c r="B1548" s="347"/>
      <c r="C1548" s="108"/>
      <c r="D1548" s="108"/>
      <c r="E1548" s="349"/>
    </row>
    <row r="1549" spans="1:5" ht="15">
      <c r="A1549" s="151"/>
      <c r="B1549" s="347"/>
      <c r="C1549" s="108"/>
      <c r="D1549" s="108"/>
      <c r="E1549" s="349"/>
    </row>
    <row r="1550" spans="1:5" ht="15">
      <c r="A1550" s="151"/>
      <c r="B1550" s="347"/>
      <c r="C1550" s="108"/>
      <c r="D1550" s="108"/>
      <c r="E1550" s="349"/>
    </row>
    <row r="1551" spans="1:5" ht="15">
      <c r="A1551" s="151"/>
      <c r="B1551" s="347"/>
      <c r="C1551" s="108"/>
      <c r="D1551" s="108"/>
      <c r="E1551" s="349"/>
    </row>
    <row r="1552" spans="1:5" ht="15">
      <c r="A1552" s="151"/>
      <c r="B1552" s="347"/>
      <c r="C1552" s="108"/>
      <c r="D1552" s="108"/>
      <c r="E1552" s="349"/>
    </row>
    <row r="1553" spans="1:5" ht="15">
      <c r="A1553" s="151"/>
      <c r="B1553" s="347"/>
      <c r="C1553" s="108"/>
      <c r="D1553" s="108"/>
      <c r="E1553" s="349"/>
    </row>
    <row r="1554" spans="1:5" ht="15">
      <c r="A1554" s="151"/>
      <c r="B1554" s="347"/>
      <c r="C1554" s="108"/>
      <c r="D1554" s="108"/>
      <c r="E1554" s="349"/>
    </row>
    <row r="1555" spans="1:5" ht="15">
      <c r="A1555" s="151"/>
      <c r="B1555" s="347"/>
      <c r="C1555" s="108"/>
      <c r="D1555" s="108"/>
      <c r="E1555" s="349"/>
    </row>
    <row r="1556" spans="1:5" ht="15">
      <c r="A1556" s="151"/>
      <c r="B1556" s="347"/>
      <c r="C1556" s="108"/>
      <c r="D1556" s="108"/>
      <c r="E1556" s="349"/>
    </row>
    <row r="1557" spans="1:5" ht="15">
      <c r="A1557" s="151"/>
      <c r="B1557" s="347"/>
      <c r="C1557" s="108"/>
      <c r="D1557" s="108"/>
      <c r="E1557" s="349"/>
    </row>
    <row r="1558" spans="1:5" ht="15">
      <c r="A1558" s="151"/>
      <c r="B1558" s="347"/>
      <c r="C1558" s="108"/>
      <c r="D1558" s="108"/>
      <c r="E1558" s="349"/>
    </row>
    <row r="1559" spans="1:5" ht="15">
      <c r="A1559" s="151"/>
      <c r="B1559" s="347"/>
      <c r="C1559" s="108"/>
      <c r="D1559" s="108"/>
      <c r="E1559" s="349"/>
    </row>
    <row r="1560" spans="1:5" ht="15">
      <c r="A1560" s="151"/>
      <c r="B1560" s="347"/>
      <c r="C1560" s="108"/>
      <c r="D1560" s="108"/>
      <c r="E1560" s="349"/>
    </row>
    <row r="1561" spans="1:5" ht="15">
      <c r="A1561" s="151"/>
      <c r="B1561" s="347"/>
      <c r="C1561" s="108"/>
      <c r="D1561" s="108"/>
      <c r="E1561" s="349"/>
    </row>
    <row r="1562" spans="1:5" ht="15">
      <c r="A1562" s="151"/>
      <c r="B1562" s="347"/>
      <c r="C1562" s="108"/>
      <c r="D1562" s="108"/>
      <c r="E1562" s="349"/>
    </row>
    <row r="1563" spans="1:5" ht="15">
      <c r="A1563" s="151"/>
      <c r="B1563" s="347"/>
      <c r="C1563" s="108"/>
      <c r="D1563" s="108"/>
      <c r="E1563" s="349"/>
    </row>
    <row r="1564" spans="1:5" ht="15">
      <c r="A1564" s="151"/>
      <c r="B1564" s="347"/>
      <c r="C1564" s="108"/>
      <c r="D1564" s="108"/>
      <c r="E1564" s="349"/>
    </row>
    <row r="1565" spans="1:5" ht="15">
      <c r="A1565" s="151"/>
      <c r="B1565" s="347"/>
      <c r="C1565" s="108"/>
      <c r="D1565" s="108"/>
      <c r="E1565" s="349"/>
    </row>
    <row r="1566" spans="1:5" ht="15">
      <c r="A1566" s="151"/>
      <c r="B1566" s="347"/>
      <c r="C1566" s="108"/>
      <c r="D1566" s="108"/>
      <c r="E1566" s="349"/>
    </row>
    <row r="1567" spans="1:5" ht="15">
      <c r="A1567" s="151"/>
      <c r="B1567" s="347"/>
      <c r="C1567" s="108"/>
      <c r="D1567" s="108"/>
      <c r="E1567" s="349"/>
    </row>
    <row r="1568" spans="1:5" ht="15">
      <c r="A1568" s="151"/>
      <c r="B1568" s="347"/>
      <c r="C1568" s="108"/>
      <c r="D1568" s="108"/>
      <c r="E1568" s="349"/>
    </row>
    <row r="1569" spans="1:5" ht="15">
      <c r="A1569" s="151"/>
      <c r="B1569" s="347"/>
      <c r="C1569" s="108"/>
      <c r="D1569" s="108"/>
      <c r="E1569" s="349"/>
    </row>
    <row r="1570" spans="1:5" ht="15">
      <c r="A1570" s="151"/>
      <c r="B1570" s="347"/>
      <c r="C1570" s="108"/>
      <c r="D1570" s="108"/>
      <c r="E1570" s="349"/>
    </row>
    <row r="1571" spans="1:5" ht="15">
      <c r="A1571" s="151"/>
      <c r="B1571" s="347"/>
      <c r="C1571" s="108"/>
      <c r="D1571" s="108"/>
      <c r="E1571" s="349"/>
    </row>
    <row r="1572" spans="1:5" ht="15">
      <c r="A1572" s="151"/>
      <c r="B1572" s="347"/>
      <c r="C1572" s="108"/>
      <c r="D1572" s="108"/>
      <c r="E1572" s="349"/>
    </row>
    <row r="1573" spans="1:5" ht="15">
      <c r="A1573" s="151"/>
      <c r="B1573" s="347"/>
      <c r="C1573" s="108"/>
      <c r="D1573" s="108"/>
      <c r="E1573" s="349"/>
    </row>
    <row r="1574" spans="1:5" ht="15">
      <c r="A1574" s="151"/>
      <c r="B1574" s="347"/>
      <c r="C1574" s="108"/>
      <c r="D1574" s="108"/>
      <c r="E1574" s="349"/>
    </row>
    <row r="1575" spans="1:5" ht="15">
      <c r="A1575" s="151"/>
      <c r="B1575" s="347"/>
      <c r="C1575" s="108"/>
      <c r="D1575" s="108"/>
      <c r="E1575" s="349"/>
    </row>
    <row r="1576" spans="1:5" ht="15">
      <c r="A1576" s="151"/>
      <c r="B1576" s="347"/>
      <c r="C1576" s="108"/>
      <c r="D1576" s="108"/>
      <c r="E1576" s="349"/>
    </row>
    <row r="1577" spans="1:5" ht="15">
      <c r="A1577" s="151"/>
      <c r="B1577" s="347"/>
      <c r="C1577" s="108"/>
      <c r="D1577" s="108"/>
      <c r="E1577" s="349"/>
    </row>
    <row r="1578" spans="1:5" ht="15">
      <c r="A1578" s="151"/>
      <c r="B1578" s="347"/>
      <c r="C1578" s="108"/>
      <c r="D1578" s="108"/>
      <c r="E1578" s="349"/>
    </row>
    <row r="1579" spans="1:5" ht="15">
      <c r="A1579" s="151"/>
      <c r="B1579" s="347"/>
      <c r="C1579" s="108"/>
      <c r="D1579" s="108"/>
      <c r="E1579" s="349"/>
    </row>
    <row r="1580" spans="1:5" ht="15">
      <c r="A1580" s="151"/>
      <c r="B1580" s="347"/>
      <c r="C1580" s="108"/>
      <c r="D1580" s="108"/>
      <c r="E1580" s="349"/>
    </row>
    <row r="1581" spans="1:5" ht="15">
      <c r="A1581" s="151"/>
      <c r="B1581" s="347"/>
      <c r="C1581" s="108"/>
      <c r="D1581" s="108"/>
      <c r="E1581" s="349"/>
    </row>
    <row r="1582" spans="1:5" ht="15">
      <c r="A1582" s="151"/>
      <c r="B1582" s="347"/>
      <c r="C1582" s="108"/>
      <c r="D1582" s="108"/>
      <c r="E1582" s="349"/>
    </row>
    <row r="1583" spans="1:5" ht="15">
      <c r="A1583" s="151"/>
      <c r="B1583" s="347"/>
      <c r="C1583" s="108"/>
      <c r="D1583" s="108"/>
      <c r="E1583" s="349"/>
    </row>
    <row r="1584" spans="1:5" ht="15">
      <c r="A1584" s="151"/>
      <c r="B1584" s="347"/>
      <c r="C1584" s="108"/>
      <c r="D1584" s="108"/>
      <c r="E1584" s="349"/>
    </row>
    <row r="1585" spans="1:5" ht="15">
      <c r="A1585" s="151"/>
      <c r="B1585" s="347"/>
      <c r="C1585" s="108"/>
      <c r="D1585" s="108"/>
      <c r="E1585" s="349"/>
    </row>
    <row r="1586" spans="1:5" ht="15">
      <c r="A1586" s="151"/>
      <c r="B1586" s="347"/>
      <c r="C1586" s="108"/>
      <c r="D1586" s="108"/>
      <c r="E1586" s="349"/>
    </row>
    <row r="1587" spans="1:5" ht="15">
      <c r="A1587" s="151"/>
      <c r="B1587" s="347"/>
      <c r="C1587" s="108"/>
      <c r="D1587" s="108"/>
      <c r="E1587" s="349"/>
    </row>
    <row r="1588" spans="1:5" ht="15">
      <c r="A1588" s="151"/>
      <c r="B1588" s="347"/>
      <c r="C1588" s="108"/>
      <c r="D1588" s="108"/>
      <c r="E1588" s="349"/>
    </row>
    <row r="1589" spans="1:5" ht="15">
      <c r="A1589" s="151"/>
      <c r="B1589" s="347"/>
      <c r="C1589" s="108"/>
      <c r="D1589" s="108"/>
      <c r="E1589" s="349"/>
    </row>
    <row r="1590" spans="1:5" ht="15">
      <c r="A1590" s="151"/>
      <c r="B1590" s="347"/>
      <c r="C1590" s="108"/>
      <c r="D1590" s="108"/>
      <c r="E1590" s="349"/>
    </row>
    <row r="1591" spans="1:5" ht="15">
      <c r="A1591" s="151"/>
      <c r="B1591" s="347"/>
      <c r="C1591" s="108"/>
      <c r="D1591" s="108"/>
      <c r="E1591" s="349"/>
    </row>
    <row r="1592" spans="1:5" ht="15">
      <c r="A1592" s="151"/>
      <c r="B1592" s="347"/>
      <c r="C1592" s="108"/>
      <c r="D1592" s="108"/>
      <c r="E1592" s="349"/>
    </row>
    <row r="1593" spans="1:5" ht="15">
      <c r="A1593" s="151"/>
      <c r="B1593" s="347"/>
      <c r="C1593" s="108"/>
      <c r="D1593" s="108"/>
      <c r="E1593" s="349"/>
    </row>
    <row r="1594" spans="1:5" ht="15">
      <c r="A1594" s="151"/>
      <c r="B1594" s="347"/>
      <c r="C1594" s="108"/>
      <c r="D1594" s="108"/>
      <c r="E1594" s="349"/>
    </row>
    <row r="1595" spans="1:5" ht="15">
      <c r="A1595" s="151"/>
      <c r="B1595" s="347"/>
      <c r="C1595" s="108"/>
      <c r="D1595" s="108"/>
      <c r="E1595" s="349"/>
    </row>
    <row r="1596" spans="1:5" ht="15">
      <c r="A1596" s="151"/>
      <c r="B1596" s="347"/>
      <c r="C1596" s="108"/>
      <c r="D1596" s="108"/>
      <c r="E1596" s="349"/>
    </row>
    <row r="1597" spans="1:5" ht="15">
      <c r="A1597" s="151"/>
      <c r="B1597" s="347"/>
      <c r="C1597" s="108"/>
      <c r="D1597" s="108"/>
      <c r="E1597" s="349"/>
    </row>
    <row r="1598" spans="1:5" ht="15">
      <c r="A1598" s="151"/>
      <c r="B1598" s="347"/>
      <c r="C1598" s="108"/>
      <c r="D1598" s="108"/>
      <c r="E1598" s="349"/>
    </row>
    <row r="1599" spans="1:5" ht="15">
      <c r="A1599" s="151"/>
      <c r="B1599" s="347"/>
      <c r="C1599" s="108"/>
      <c r="D1599" s="108"/>
      <c r="E1599" s="349"/>
    </row>
    <row r="1600" spans="1:5" ht="15">
      <c r="A1600" s="151"/>
      <c r="B1600" s="347"/>
      <c r="C1600" s="108"/>
      <c r="D1600" s="108"/>
      <c r="E1600" s="349"/>
    </row>
    <row r="1601" spans="1:5" ht="15">
      <c r="A1601" s="151"/>
      <c r="B1601" s="347"/>
      <c r="C1601" s="108"/>
      <c r="D1601" s="108"/>
      <c r="E1601" s="349"/>
    </row>
    <row r="1602" spans="1:5" ht="15">
      <c r="A1602" s="151"/>
      <c r="B1602" s="347"/>
      <c r="C1602" s="108"/>
      <c r="D1602" s="108"/>
      <c r="E1602" s="349"/>
    </row>
    <row r="1603" spans="1:5" ht="15">
      <c r="A1603" s="151"/>
      <c r="B1603" s="347"/>
      <c r="C1603" s="108"/>
      <c r="D1603" s="108"/>
      <c r="E1603" s="349"/>
    </row>
    <row r="1604" spans="1:5" ht="15">
      <c r="A1604" s="151"/>
      <c r="B1604" s="347"/>
      <c r="C1604" s="108"/>
      <c r="D1604" s="108"/>
      <c r="E1604" s="349"/>
    </row>
    <row r="1605" spans="1:5" ht="15">
      <c r="A1605" s="151"/>
      <c r="B1605" s="347"/>
      <c r="C1605" s="108"/>
      <c r="D1605" s="108"/>
      <c r="E1605" s="349"/>
    </row>
    <row r="1606" spans="1:5" ht="15">
      <c r="A1606" s="151"/>
      <c r="B1606" s="347"/>
      <c r="C1606" s="108"/>
      <c r="D1606" s="108"/>
      <c r="E1606" s="349"/>
    </row>
    <row r="1607" spans="1:5" ht="15">
      <c r="A1607" s="151"/>
      <c r="B1607" s="347"/>
      <c r="C1607" s="108"/>
      <c r="D1607" s="108"/>
      <c r="E1607" s="349"/>
    </row>
    <row r="1608" spans="1:5" ht="15">
      <c r="A1608" s="151"/>
      <c r="B1608" s="347"/>
      <c r="C1608" s="108"/>
      <c r="D1608" s="108"/>
      <c r="E1608" s="349"/>
    </row>
    <row r="1609" spans="1:5" ht="15">
      <c r="A1609" s="151"/>
      <c r="B1609" s="347"/>
      <c r="C1609" s="108"/>
      <c r="D1609" s="108"/>
      <c r="E1609" s="349"/>
    </row>
    <row r="1610" spans="1:5" ht="15">
      <c r="A1610" s="151"/>
      <c r="B1610" s="347"/>
      <c r="C1610" s="108"/>
      <c r="D1610" s="108"/>
      <c r="E1610" s="349"/>
    </row>
    <row r="1611" spans="1:5" ht="15">
      <c r="A1611" s="151"/>
      <c r="B1611" s="347"/>
      <c r="C1611" s="108"/>
      <c r="D1611" s="108"/>
      <c r="E1611" s="349"/>
    </row>
    <row r="1612" spans="1:5" ht="15">
      <c r="A1612" s="151"/>
      <c r="B1612" s="347"/>
      <c r="C1612" s="108"/>
      <c r="D1612" s="108"/>
      <c r="E1612" s="349"/>
    </row>
    <row r="1613" spans="1:5" ht="15">
      <c r="A1613" s="151"/>
      <c r="B1613" s="347"/>
      <c r="C1613" s="108"/>
      <c r="D1613" s="108"/>
      <c r="E1613" s="349"/>
    </row>
    <row r="1614" spans="1:5" ht="15">
      <c r="A1614" s="151"/>
      <c r="B1614" s="347"/>
      <c r="C1614" s="108"/>
      <c r="D1614" s="108"/>
      <c r="E1614" s="349"/>
    </row>
    <row r="1615" spans="1:5" ht="15">
      <c r="A1615" s="151"/>
      <c r="B1615" s="347"/>
      <c r="C1615" s="108"/>
      <c r="D1615" s="108"/>
      <c r="E1615" s="349"/>
    </row>
    <row r="1616" spans="1:5" ht="15">
      <c r="A1616" s="151"/>
      <c r="B1616" s="347"/>
      <c r="C1616" s="108"/>
      <c r="D1616" s="108"/>
      <c r="E1616" s="349"/>
    </row>
    <row r="1617" spans="1:5" ht="15">
      <c r="A1617" s="151"/>
      <c r="B1617" s="347"/>
      <c r="C1617" s="108"/>
      <c r="D1617" s="108"/>
      <c r="E1617" s="349"/>
    </row>
    <row r="1618" spans="1:5" ht="15">
      <c r="A1618" s="151"/>
      <c r="B1618" s="347"/>
      <c r="C1618" s="108"/>
      <c r="D1618" s="108"/>
      <c r="E1618" s="349"/>
    </row>
    <row r="1619" spans="1:5" ht="15">
      <c r="A1619" s="151"/>
      <c r="B1619" s="347"/>
      <c r="C1619" s="108"/>
      <c r="D1619" s="108"/>
      <c r="E1619" s="349"/>
    </row>
    <row r="1620" spans="1:5" ht="15">
      <c r="A1620" s="151"/>
      <c r="B1620" s="347"/>
      <c r="C1620" s="108"/>
      <c r="D1620" s="108"/>
      <c r="E1620" s="349"/>
    </row>
    <row r="1621" spans="1:5" ht="15">
      <c r="A1621" s="151"/>
      <c r="B1621" s="347"/>
      <c r="C1621" s="108"/>
      <c r="D1621" s="108"/>
      <c r="E1621" s="349"/>
    </row>
    <row r="1622" spans="1:5" ht="15">
      <c r="A1622" s="151"/>
      <c r="B1622" s="347"/>
      <c r="C1622" s="108"/>
      <c r="D1622" s="108"/>
      <c r="E1622" s="349"/>
    </row>
    <row r="1623" spans="1:5" ht="15">
      <c r="A1623" s="151"/>
      <c r="B1623" s="347"/>
      <c r="C1623" s="108"/>
      <c r="D1623" s="108"/>
      <c r="E1623" s="349"/>
    </row>
    <row r="1624" spans="1:5" ht="15">
      <c r="A1624" s="151"/>
      <c r="B1624" s="347"/>
      <c r="C1624" s="108"/>
      <c r="D1624" s="108"/>
      <c r="E1624" s="349"/>
    </row>
    <row r="1625" spans="1:5" ht="15">
      <c r="A1625" s="151"/>
      <c r="B1625" s="347"/>
      <c r="C1625" s="108"/>
      <c r="D1625" s="108"/>
      <c r="E1625" s="349"/>
    </row>
    <row r="1626" spans="1:5" ht="15">
      <c r="A1626" s="151"/>
      <c r="B1626" s="347"/>
      <c r="C1626" s="108"/>
      <c r="D1626" s="108"/>
      <c r="E1626" s="349"/>
    </row>
    <row r="1627" spans="1:5" ht="15">
      <c r="A1627" s="151"/>
      <c r="B1627" s="347"/>
      <c r="C1627" s="108"/>
      <c r="D1627" s="108"/>
      <c r="E1627" s="349"/>
    </row>
    <row r="1628" spans="1:5" ht="15">
      <c r="A1628" s="151"/>
      <c r="B1628" s="347"/>
      <c r="C1628" s="108"/>
      <c r="D1628" s="108"/>
      <c r="E1628" s="349"/>
    </row>
    <row r="1629" spans="1:5" ht="15">
      <c r="A1629" s="151"/>
      <c r="B1629" s="347"/>
      <c r="C1629" s="108"/>
      <c r="D1629" s="108"/>
      <c r="E1629" s="349"/>
    </row>
    <row r="1630" spans="1:5" ht="15">
      <c r="A1630" s="151"/>
      <c r="B1630" s="347"/>
      <c r="C1630" s="108"/>
      <c r="D1630" s="108"/>
      <c r="E1630" s="349"/>
    </row>
    <row r="1631" spans="1:5" ht="15">
      <c r="A1631" s="151"/>
      <c r="B1631" s="347"/>
      <c r="C1631" s="108"/>
      <c r="D1631" s="108"/>
      <c r="E1631" s="349"/>
    </row>
    <row r="1632" spans="1:5" ht="15">
      <c r="A1632" s="151"/>
      <c r="B1632" s="347"/>
      <c r="C1632" s="108"/>
      <c r="D1632" s="108"/>
      <c r="E1632" s="349"/>
    </row>
    <row r="1633" spans="1:5" ht="15">
      <c r="A1633" s="151"/>
      <c r="B1633" s="347"/>
      <c r="C1633" s="108"/>
      <c r="D1633" s="108"/>
      <c r="E1633" s="349"/>
    </row>
    <row r="1634" spans="1:5" ht="15">
      <c r="A1634" s="151"/>
      <c r="B1634" s="347"/>
      <c r="C1634" s="108"/>
      <c r="D1634" s="108"/>
      <c r="E1634" s="349"/>
    </row>
    <row r="1635" spans="1:5" ht="15">
      <c r="A1635" s="151"/>
      <c r="B1635" s="347"/>
      <c r="C1635" s="108"/>
      <c r="D1635" s="108"/>
      <c r="E1635" s="349"/>
    </row>
    <row r="1636" spans="1:5" ht="15">
      <c r="A1636" s="151"/>
      <c r="B1636" s="347"/>
      <c r="C1636" s="108"/>
      <c r="D1636" s="108"/>
      <c r="E1636" s="349"/>
    </row>
    <row r="1637" spans="1:5" ht="15">
      <c r="A1637" s="151"/>
      <c r="B1637" s="347"/>
      <c r="C1637" s="108"/>
      <c r="D1637" s="108"/>
      <c r="E1637" s="349"/>
    </row>
    <row r="1638" spans="1:5" ht="15">
      <c r="A1638" s="151"/>
      <c r="B1638" s="347"/>
      <c r="C1638" s="108"/>
      <c r="D1638" s="108"/>
      <c r="E1638" s="349"/>
    </row>
    <row r="1639" spans="1:5" ht="15">
      <c r="A1639" s="151"/>
      <c r="B1639" s="347"/>
      <c r="C1639" s="108"/>
      <c r="D1639" s="108"/>
      <c r="E1639" s="349"/>
    </row>
    <row r="1640" spans="1:5" ht="15">
      <c r="A1640" s="151"/>
      <c r="B1640" s="347"/>
      <c r="C1640" s="108"/>
      <c r="D1640" s="108"/>
      <c r="E1640" s="349"/>
    </row>
    <row r="1641" spans="1:5" ht="15">
      <c r="A1641" s="151"/>
      <c r="B1641" s="347"/>
      <c r="C1641" s="108"/>
      <c r="D1641" s="108"/>
      <c r="E1641" s="349"/>
    </row>
    <row r="1642" spans="1:5" ht="15">
      <c r="A1642" s="151"/>
      <c r="B1642" s="347"/>
      <c r="C1642" s="108"/>
      <c r="D1642" s="108"/>
      <c r="E1642" s="349"/>
    </row>
    <row r="1643" spans="1:5" ht="15">
      <c r="A1643" s="151"/>
      <c r="B1643" s="347"/>
      <c r="C1643" s="108"/>
      <c r="D1643" s="108"/>
      <c r="E1643" s="349"/>
    </row>
    <row r="1644" spans="1:5" ht="15">
      <c r="A1644" s="151"/>
      <c r="B1644" s="347"/>
      <c r="C1644" s="108"/>
      <c r="D1644" s="108"/>
      <c r="E1644" s="349"/>
    </row>
    <row r="1645" spans="1:5" ht="15">
      <c r="A1645" s="151"/>
      <c r="B1645" s="347"/>
      <c r="C1645" s="108"/>
      <c r="D1645" s="108"/>
      <c r="E1645" s="349"/>
    </row>
    <row r="1646" spans="1:5" ht="15">
      <c r="A1646" s="151"/>
      <c r="B1646" s="347"/>
      <c r="C1646" s="108"/>
      <c r="D1646" s="108"/>
      <c r="E1646" s="349"/>
    </row>
    <row r="1647" spans="1:5" ht="15">
      <c r="A1647" s="151"/>
      <c r="B1647" s="347"/>
      <c r="C1647" s="108"/>
      <c r="D1647" s="108"/>
      <c r="E1647" s="349"/>
    </row>
    <row r="1648" spans="1:5" ht="15">
      <c r="A1648" s="151"/>
      <c r="B1648" s="347"/>
      <c r="C1648" s="108"/>
      <c r="D1648" s="108"/>
      <c r="E1648" s="349"/>
    </row>
    <row r="1649" spans="1:5" ht="15">
      <c r="A1649" s="151"/>
      <c r="B1649" s="347"/>
      <c r="C1649" s="108"/>
      <c r="D1649" s="108"/>
      <c r="E1649" s="349"/>
    </row>
    <row r="1650" spans="1:5" ht="15">
      <c r="A1650" s="151"/>
      <c r="B1650" s="347"/>
      <c r="C1650" s="108"/>
      <c r="D1650" s="108"/>
      <c r="E1650" s="349"/>
    </row>
    <row r="1651" spans="1:5" ht="15">
      <c r="A1651" s="151"/>
      <c r="B1651" s="347"/>
      <c r="C1651" s="108"/>
      <c r="D1651" s="108"/>
      <c r="E1651" s="349"/>
    </row>
    <row r="1652" spans="1:5" ht="15">
      <c r="A1652" s="151"/>
      <c r="B1652" s="347"/>
      <c r="C1652" s="108"/>
      <c r="D1652" s="108"/>
      <c r="E1652" s="349"/>
    </row>
    <row r="1653" spans="1:5" ht="15">
      <c r="A1653" s="151"/>
      <c r="B1653" s="347"/>
      <c r="C1653" s="108"/>
      <c r="D1653" s="108"/>
      <c r="E1653" s="349"/>
    </row>
    <row r="1654" spans="1:5" ht="15">
      <c r="A1654" s="151"/>
      <c r="B1654" s="347"/>
      <c r="C1654" s="108"/>
      <c r="D1654" s="108"/>
      <c r="E1654" s="349"/>
    </row>
    <row r="1655" spans="1:5" ht="15">
      <c r="A1655" s="151"/>
      <c r="B1655" s="347"/>
      <c r="C1655" s="108"/>
      <c r="D1655" s="108"/>
      <c r="E1655" s="349"/>
    </row>
    <row r="1656" spans="1:5" ht="15">
      <c r="A1656" s="151"/>
      <c r="B1656" s="347"/>
      <c r="C1656" s="108"/>
      <c r="D1656" s="108"/>
      <c r="E1656" s="349"/>
    </row>
    <row r="1657" spans="1:5" ht="15">
      <c r="A1657" s="151"/>
      <c r="B1657" s="347"/>
      <c r="C1657" s="108"/>
      <c r="D1657" s="108"/>
      <c r="E1657" s="349"/>
    </row>
    <row r="1658" spans="1:5" ht="15">
      <c r="A1658" s="151"/>
      <c r="B1658" s="347"/>
      <c r="C1658" s="108"/>
      <c r="D1658" s="108"/>
      <c r="E1658" s="349"/>
    </row>
    <row r="1659" spans="1:5" ht="15">
      <c r="A1659" s="151"/>
      <c r="B1659" s="347"/>
      <c r="C1659" s="108"/>
      <c r="D1659" s="108"/>
      <c r="E1659" s="349"/>
    </row>
    <row r="1660" spans="1:5" ht="15">
      <c r="A1660" s="151"/>
      <c r="B1660" s="347"/>
      <c r="C1660" s="108"/>
      <c r="D1660" s="108"/>
      <c r="E1660" s="349"/>
    </row>
    <row r="1661" spans="1:5" ht="15">
      <c r="A1661" s="151"/>
      <c r="B1661" s="347"/>
      <c r="C1661" s="108"/>
      <c r="D1661" s="108"/>
      <c r="E1661" s="349"/>
    </row>
    <row r="1662" spans="1:5" ht="15">
      <c r="A1662" s="151"/>
      <c r="B1662" s="347"/>
      <c r="C1662" s="108"/>
      <c r="D1662" s="108"/>
      <c r="E1662" s="349"/>
    </row>
    <row r="1663" spans="1:5" ht="15">
      <c r="A1663" s="151"/>
      <c r="B1663" s="347"/>
      <c r="C1663" s="108"/>
      <c r="D1663" s="108"/>
      <c r="E1663" s="349"/>
    </row>
    <row r="1664" spans="1:5" ht="15">
      <c r="A1664" s="151"/>
      <c r="B1664" s="347"/>
      <c r="C1664" s="108"/>
      <c r="D1664" s="108"/>
      <c r="E1664" s="349"/>
    </row>
    <row r="1665" spans="1:5" ht="15">
      <c r="A1665" s="151"/>
      <c r="B1665" s="347"/>
      <c r="C1665" s="108"/>
      <c r="D1665" s="108"/>
      <c r="E1665" s="349"/>
    </row>
    <row r="1666" spans="1:5" ht="15">
      <c r="A1666" s="151"/>
      <c r="B1666" s="347"/>
      <c r="C1666" s="108"/>
      <c r="D1666" s="108"/>
      <c r="E1666" s="349"/>
    </row>
    <row r="1667" spans="1:5" ht="15">
      <c r="A1667" s="151"/>
      <c r="B1667" s="347"/>
      <c r="C1667" s="108"/>
      <c r="D1667" s="108"/>
      <c r="E1667" s="349"/>
    </row>
    <row r="1668" spans="1:5" ht="15">
      <c r="A1668" s="151"/>
      <c r="B1668" s="347"/>
      <c r="C1668" s="108"/>
      <c r="D1668" s="108"/>
      <c r="E1668" s="349"/>
    </row>
    <row r="1669" spans="1:5" ht="15">
      <c r="A1669" s="151"/>
      <c r="B1669" s="347"/>
      <c r="C1669" s="108"/>
      <c r="D1669" s="108"/>
      <c r="E1669" s="349"/>
    </row>
    <row r="1670" spans="1:5" ht="15">
      <c r="A1670" s="151"/>
      <c r="B1670" s="347"/>
      <c r="C1670" s="108"/>
      <c r="D1670" s="108"/>
      <c r="E1670" s="349"/>
    </row>
    <row r="1671" spans="1:5" ht="15">
      <c r="A1671" s="151"/>
      <c r="B1671" s="347"/>
      <c r="C1671" s="108"/>
      <c r="D1671" s="108"/>
      <c r="E1671" s="349"/>
    </row>
    <row r="1672" spans="1:5" ht="15">
      <c r="A1672" s="151"/>
      <c r="B1672" s="347"/>
      <c r="C1672" s="108"/>
      <c r="D1672" s="108"/>
      <c r="E1672" s="349"/>
    </row>
    <row r="1673" spans="1:5" ht="15">
      <c r="A1673" s="151"/>
      <c r="B1673" s="347"/>
      <c r="C1673" s="108"/>
      <c r="D1673" s="108"/>
      <c r="E1673" s="349"/>
    </row>
    <row r="1674" spans="1:5" ht="15">
      <c r="A1674" s="151"/>
      <c r="B1674" s="347"/>
      <c r="C1674" s="108"/>
      <c r="D1674" s="108"/>
      <c r="E1674" s="349"/>
    </row>
    <row r="1675" spans="1:5" ht="15">
      <c r="A1675" s="151"/>
      <c r="B1675" s="347"/>
      <c r="C1675" s="108"/>
      <c r="D1675" s="108"/>
      <c r="E1675" s="349"/>
    </row>
    <row r="1676" spans="1:5" ht="15">
      <c r="A1676" s="151"/>
      <c r="B1676" s="347"/>
      <c r="C1676" s="108"/>
      <c r="D1676" s="108"/>
      <c r="E1676" s="349"/>
    </row>
    <row r="1677" spans="1:5" ht="15">
      <c r="A1677" s="151"/>
      <c r="B1677" s="347"/>
      <c r="C1677" s="108"/>
      <c r="D1677" s="108"/>
      <c r="E1677" s="349"/>
    </row>
    <row r="1678" spans="1:5" ht="15">
      <c r="A1678" s="151"/>
      <c r="B1678" s="347"/>
      <c r="C1678" s="108"/>
      <c r="D1678" s="108"/>
      <c r="E1678" s="349"/>
    </row>
    <row r="1679" spans="1:5" ht="15">
      <c r="A1679" s="151"/>
      <c r="B1679" s="347"/>
      <c r="C1679" s="108"/>
      <c r="D1679" s="108"/>
      <c r="E1679" s="349"/>
    </row>
    <row r="1680" spans="1:5" ht="15">
      <c r="A1680" s="151"/>
      <c r="B1680" s="347"/>
      <c r="C1680" s="108"/>
      <c r="D1680" s="108"/>
      <c r="E1680" s="349"/>
    </row>
    <row r="1681" spans="1:5" ht="15">
      <c r="A1681" s="151"/>
      <c r="B1681" s="347"/>
      <c r="C1681" s="108"/>
      <c r="D1681" s="108"/>
      <c r="E1681" s="349"/>
    </row>
    <row r="1682" spans="1:5" ht="15">
      <c r="A1682" s="151"/>
      <c r="B1682" s="347"/>
      <c r="C1682" s="108"/>
      <c r="D1682" s="108"/>
      <c r="E1682" s="349"/>
    </row>
    <row r="1683" spans="1:5" ht="15">
      <c r="A1683" s="151"/>
      <c r="B1683" s="347"/>
      <c r="C1683" s="108"/>
      <c r="D1683" s="108"/>
      <c r="E1683" s="349"/>
    </row>
    <row r="1684" spans="1:5" ht="15">
      <c r="A1684" s="151"/>
      <c r="B1684" s="347"/>
      <c r="C1684" s="108"/>
      <c r="D1684" s="108"/>
      <c r="E1684" s="349"/>
    </row>
    <row r="1685" spans="1:5" ht="15">
      <c r="A1685" s="151"/>
      <c r="B1685" s="347"/>
      <c r="C1685" s="108"/>
      <c r="D1685" s="108"/>
      <c r="E1685" s="349"/>
    </row>
    <row r="1686" spans="1:5" ht="15">
      <c r="A1686" s="151"/>
      <c r="B1686" s="347"/>
      <c r="C1686" s="108"/>
      <c r="D1686" s="108"/>
      <c r="E1686" s="349"/>
    </row>
    <row r="1687" spans="1:5" ht="15">
      <c r="A1687" s="151"/>
      <c r="B1687" s="347"/>
      <c r="C1687" s="108"/>
      <c r="D1687" s="108"/>
      <c r="E1687" s="349"/>
    </row>
    <row r="1688" spans="1:5" ht="15">
      <c r="A1688" s="151"/>
      <c r="B1688" s="347"/>
      <c r="C1688" s="108"/>
      <c r="D1688" s="108"/>
      <c r="E1688" s="349"/>
    </row>
    <row r="1689" spans="1:5" ht="15">
      <c r="A1689" s="151"/>
      <c r="B1689" s="347"/>
      <c r="C1689" s="108"/>
      <c r="D1689" s="108"/>
      <c r="E1689" s="349"/>
    </row>
    <row r="1690" spans="1:5" ht="15">
      <c r="A1690" s="151"/>
      <c r="B1690" s="347"/>
      <c r="C1690" s="108"/>
      <c r="D1690" s="108"/>
      <c r="E1690" s="349"/>
    </row>
    <row r="1691" spans="1:5" ht="15">
      <c r="A1691" s="151"/>
      <c r="B1691" s="347"/>
      <c r="C1691" s="108"/>
      <c r="D1691" s="108"/>
      <c r="E1691" s="349"/>
    </row>
    <row r="1692" spans="1:5" ht="15">
      <c r="A1692" s="151"/>
      <c r="B1692" s="347"/>
      <c r="C1692" s="108"/>
      <c r="D1692" s="108"/>
      <c r="E1692" s="349"/>
    </row>
    <row r="1693" spans="1:5" ht="15">
      <c r="A1693" s="151"/>
      <c r="B1693" s="347"/>
      <c r="C1693" s="108"/>
      <c r="D1693" s="108"/>
      <c r="E1693" s="349"/>
    </row>
    <row r="1694" spans="1:5" ht="15">
      <c r="A1694" s="151"/>
      <c r="B1694" s="347"/>
      <c r="C1694" s="108"/>
      <c r="D1694" s="108"/>
      <c r="E1694" s="349"/>
    </row>
    <row r="1695" spans="1:5" ht="15">
      <c r="A1695" s="151"/>
      <c r="B1695" s="347"/>
      <c r="C1695" s="108"/>
      <c r="D1695" s="108"/>
      <c r="E1695" s="349"/>
    </row>
    <row r="1696" spans="1:5" ht="15">
      <c r="A1696" s="151"/>
      <c r="B1696" s="347"/>
      <c r="C1696" s="108"/>
      <c r="D1696" s="108"/>
      <c r="E1696" s="349"/>
    </row>
    <row r="1697" spans="1:5" ht="15">
      <c r="A1697" s="151"/>
      <c r="B1697" s="347"/>
      <c r="C1697" s="108"/>
      <c r="D1697" s="108"/>
      <c r="E1697" s="349"/>
    </row>
    <row r="1698" spans="1:5" ht="15">
      <c r="A1698" s="151"/>
      <c r="B1698" s="347"/>
      <c r="C1698" s="108"/>
      <c r="D1698" s="108"/>
      <c r="E1698" s="349"/>
    </row>
    <row r="1699" spans="1:5" ht="15">
      <c r="A1699" s="151"/>
      <c r="B1699" s="347"/>
      <c r="C1699" s="108"/>
      <c r="D1699" s="108"/>
      <c r="E1699" s="349"/>
    </row>
    <row r="1700" spans="1:5" ht="15">
      <c r="A1700" s="151"/>
      <c r="B1700" s="347"/>
      <c r="C1700" s="108"/>
      <c r="D1700" s="108"/>
      <c r="E1700" s="349"/>
    </row>
    <row r="1701" spans="1:5" ht="15">
      <c r="A1701" s="151"/>
      <c r="B1701" s="347"/>
      <c r="C1701" s="108"/>
      <c r="D1701" s="108"/>
      <c r="E1701" s="349"/>
    </row>
    <row r="1702" spans="1:5" ht="15">
      <c r="A1702" s="151"/>
      <c r="B1702" s="347"/>
      <c r="C1702" s="108"/>
      <c r="D1702" s="108"/>
      <c r="E1702" s="349"/>
    </row>
    <row r="1703" spans="1:5" ht="15">
      <c r="A1703" s="151"/>
      <c r="B1703" s="347"/>
      <c r="C1703" s="108"/>
      <c r="D1703" s="108"/>
      <c r="E1703" s="349"/>
    </row>
    <row r="1704" spans="1:5" ht="15">
      <c r="A1704" s="151"/>
      <c r="B1704" s="347"/>
      <c r="C1704" s="108"/>
      <c r="D1704" s="108"/>
      <c r="E1704" s="349"/>
    </row>
    <row r="1705" spans="1:5" ht="15">
      <c r="A1705" s="151"/>
      <c r="B1705" s="347"/>
      <c r="C1705" s="108"/>
      <c r="D1705" s="108"/>
      <c r="E1705" s="349"/>
    </row>
    <row r="1706" spans="1:5" ht="15">
      <c r="A1706" s="151"/>
      <c r="B1706" s="347"/>
      <c r="C1706" s="108"/>
      <c r="D1706" s="108"/>
      <c r="E1706" s="349"/>
    </row>
    <row r="1707" spans="1:5" ht="15">
      <c r="A1707" s="151"/>
      <c r="B1707" s="347"/>
      <c r="C1707" s="108"/>
      <c r="D1707" s="108"/>
      <c r="E1707" s="349"/>
    </row>
    <row r="1708" spans="1:5" ht="15">
      <c r="A1708" s="151"/>
      <c r="B1708" s="347"/>
      <c r="C1708" s="108"/>
      <c r="D1708" s="108"/>
      <c r="E1708" s="349"/>
    </row>
    <row r="1709" spans="1:5" ht="15">
      <c r="A1709" s="151"/>
      <c r="B1709" s="347"/>
      <c r="C1709" s="108"/>
      <c r="D1709" s="108"/>
      <c r="E1709" s="349"/>
    </row>
    <row r="1710" spans="1:5" ht="15">
      <c r="A1710" s="151"/>
      <c r="B1710" s="347"/>
      <c r="C1710" s="108"/>
      <c r="D1710" s="108"/>
      <c r="E1710" s="349"/>
    </row>
    <row r="1711" spans="1:5" ht="15">
      <c r="A1711" s="151"/>
      <c r="B1711" s="347"/>
      <c r="C1711" s="108"/>
      <c r="D1711" s="108"/>
      <c r="E1711" s="349"/>
    </row>
    <row r="1712" spans="1:5" ht="15">
      <c r="A1712" s="151"/>
      <c r="B1712" s="347"/>
      <c r="C1712" s="108"/>
      <c r="D1712" s="108"/>
      <c r="E1712" s="349"/>
    </row>
    <row r="1713" spans="1:5" ht="15">
      <c r="A1713" s="151"/>
      <c r="B1713" s="347"/>
      <c r="C1713" s="108"/>
      <c r="D1713" s="108"/>
      <c r="E1713" s="349"/>
    </row>
    <row r="1714" spans="1:5" ht="15">
      <c r="A1714" s="151"/>
      <c r="B1714" s="347"/>
      <c r="C1714" s="108"/>
      <c r="D1714" s="108"/>
      <c r="E1714" s="349"/>
    </row>
    <row r="1715" spans="1:5" ht="15">
      <c r="A1715" s="151"/>
      <c r="B1715" s="347"/>
      <c r="C1715" s="108"/>
      <c r="D1715" s="108"/>
      <c r="E1715" s="349"/>
    </row>
    <row r="1716" spans="1:5" ht="15">
      <c r="A1716" s="151"/>
      <c r="B1716" s="347"/>
      <c r="C1716" s="108"/>
      <c r="D1716" s="108"/>
      <c r="E1716" s="349"/>
    </row>
    <row r="1717" spans="1:5" ht="15">
      <c r="A1717" s="151"/>
      <c r="B1717" s="347"/>
      <c r="C1717" s="108"/>
      <c r="D1717" s="108"/>
      <c r="E1717" s="349"/>
    </row>
    <row r="1718" spans="1:5" ht="15">
      <c r="A1718" s="151"/>
      <c r="B1718" s="347"/>
      <c r="C1718" s="108"/>
      <c r="D1718" s="108"/>
      <c r="E1718" s="349"/>
    </row>
    <row r="1719" spans="1:5" ht="15">
      <c r="A1719" s="151"/>
      <c r="B1719" s="347"/>
      <c r="C1719" s="108"/>
      <c r="D1719" s="108"/>
      <c r="E1719" s="349"/>
    </row>
    <row r="1720" spans="1:5" ht="15">
      <c r="A1720" s="151"/>
      <c r="B1720" s="347"/>
      <c r="C1720" s="108"/>
      <c r="D1720" s="108"/>
      <c r="E1720" s="349"/>
    </row>
    <row r="1721" spans="1:5" ht="15">
      <c r="A1721" s="151"/>
      <c r="B1721" s="347"/>
      <c r="C1721" s="108"/>
      <c r="D1721" s="108"/>
      <c r="E1721" s="349"/>
    </row>
    <row r="1722" spans="1:5" ht="15">
      <c r="A1722" s="151"/>
      <c r="B1722" s="347"/>
      <c r="C1722" s="108"/>
      <c r="D1722" s="108"/>
      <c r="E1722" s="349"/>
    </row>
    <row r="1723" spans="1:5" ht="15">
      <c r="A1723" s="151"/>
      <c r="B1723" s="347"/>
      <c r="C1723" s="108"/>
      <c r="D1723" s="108"/>
      <c r="E1723" s="349"/>
    </row>
    <row r="1724" spans="1:5" ht="15">
      <c r="A1724" s="151"/>
      <c r="B1724" s="347"/>
      <c r="C1724" s="108"/>
      <c r="D1724" s="108"/>
      <c r="E1724" s="349"/>
    </row>
    <row r="1725" spans="1:5" ht="15">
      <c r="A1725" s="151"/>
      <c r="B1725" s="347"/>
      <c r="C1725" s="108"/>
      <c r="D1725" s="108"/>
      <c r="E1725" s="349"/>
    </row>
    <row r="1726" spans="1:5" ht="15">
      <c r="A1726" s="151"/>
      <c r="B1726" s="347"/>
      <c r="C1726" s="108"/>
      <c r="D1726" s="108"/>
      <c r="E1726" s="349"/>
    </row>
    <row r="1727" spans="1:5" ht="15">
      <c r="A1727" s="151"/>
      <c r="B1727" s="347"/>
      <c r="C1727" s="108"/>
      <c r="D1727" s="108"/>
      <c r="E1727" s="349"/>
    </row>
    <row r="1728" spans="1:5" ht="15">
      <c r="A1728" s="151"/>
      <c r="B1728" s="347"/>
      <c r="C1728" s="108"/>
      <c r="D1728" s="108"/>
      <c r="E1728" s="349"/>
    </row>
    <row r="1729" spans="1:5" ht="15">
      <c r="A1729" s="151"/>
      <c r="B1729" s="347"/>
      <c r="C1729" s="108"/>
      <c r="D1729" s="108"/>
      <c r="E1729" s="349"/>
    </row>
    <row r="1730" spans="1:5" ht="15">
      <c r="A1730" s="151"/>
      <c r="B1730" s="347"/>
      <c r="C1730" s="108"/>
      <c r="D1730" s="108"/>
      <c r="E1730" s="349"/>
    </row>
    <row r="1731" spans="1:5" ht="15">
      <c r="A1731" s="151"/>
      <c r="B1731" s="347"/>
      <c r="C1731" s="108"/>
      <c r="D1731" s="108"/>
      <c r="E1731" s="349"/>
    </row>
    <row r="1732" spans="1:5" ht="15">
      <c r="A1732" s="151"/>
      <c r="B1732" s="347"/>
      <c r="C1732" s="108"/>
      <c r="D1732" s="108"/>
      <c r="E1732" s="349"/>
    </row>
    <row r="1733" spans="1:5" ht="15">
      <c r="A1733" s="151"/>
      <c r="B1733" s="347"/>
      <c r="C1733" s="108"/>
      <c r="D1733" s="108"/>
      <c r="E1733" s="349"/>
    </row>
    <row r="1734" spans="1:5" ht="15">
      <c r="A1734" s="151"/>
      <c r="B1734" s="347"/>
      <c r="C1734" s="108"/>
      <c r="D1734" s="108"/>
      <c r="E1734" s="349"/>
    </row>
    <row r="1735" spans="1:5" ht="15">
      <c r="A1735" s="151"/>
      <c r="B1735" s="347"/>
      <c r="C1735" s="108"/>
      <c r="D1735" s="108"/>
      <c r="E1735" s="349"/>
    </row>
    <row r="1736" spans="1:5" ht="15">
      <c r="A1736" s="151"/>
      <c r="B1736" s="347"/>
      <c r="C1736" s="108"/>
      <c r="D1736" s="108"/>
      <c r="E1736" s="349"/>
    </row>
    <row r="1737" spans="1:5" ht="15">
      <c r="A1737" s="151"/>
      <c r="B1737" s="347"/>
      <c r="C1737" s="108"/>
      <c r="D1737" s="108"/>
      <c r="E1737" s="349"/>
    </row>
    <row r="1738" spans="1:5" ht="15">
      <c r="A1738" s="151"/>
      <c r="B1738" s="347"/>
      <c r="C1738" s="108"/>
      <c r="D1738" s="108"/>
      <c r="E1738" s="349"/>
    </row>
    <row r="1739" spans="1:5" ht="15">
      <c r="A1739" s="151"/>
      <c r="B1739" s="347"/>
      <c r="C1739" s="108"/>
      <c r="D1739" s="108"/>
      <c r="E1739" s="349"/>
    </row>
    <row r="1740" spans="1:5" ht="15">
      <c r="A1740" s="151"/>
      <c r="B1740" s="347"/>
      <c r="C1740" s="108"/>
      <c r="D1740" s="108"/>
      <c r="E1740" s="349"/>
    </row>
    <row r="1741" spans="1:5" ht="15">
      <c r="A1741" s="151"/>
      <c r="B1741" s="347"/>
      <c r="C1741" s="108"/>
      <c r="D1741" s="108"/>
      <c r="E1741" s="349"/>
    </row>
    <row r="1742" spans="1:5" ht="15">
      <c r="A1742" s="151"/>
      <c r="B1742" s="347"/>
      <c r="C1742" s="108"/>
      <c r="D1742" s="108"/>
      <c r="E1742" s="349"/>
    </row>
    <row r="1743" spans="1:5" ht="15">
      <c r="A1743" s="151"/>
      <c r="B1743" s="347"/>
      <c r="C1743" s="108"/>
      <c r="D1743" s="108"/>
      <c r="E1743" s="349"/>
    </row>
    <row r="1744" spans="1:5" ht="15">
      <c r="A1744" s="151"/>
      <c r="B1744" s="347"/>
      <c r="C1744" s="108"/>
      <c r="D1744" s="108"/>
      <c r="E1744" s="349"/>
    </row>
    <row r="1745" spans="1:5" ht="15">
      <c r="A1745" s="151"/>
      <c r="B1745" s="347"/>
      <c r="C1745" s="108"/>
      <c r="D1745" s="108"/>
      <c r="E1745" s="349"/>
    </row>
    <row r="1746" spans="1:5" ht="15">
      <c r="A1746" s="151"/>
      <c r="B1746" s="347"/>
      <c r="C1746" s="108"/>
      <c r="D1746" s="108"/>
      <c r="E1746" s="349"/>
    </row>
    <row r="1747" spans="1:5" ht="15">
      <c r="A1747" s="151"/>
      <c r="B1747" s="347"/>
      <c r="C1747" s="108"/>
      <c r="D1747" s="108"/>
      <c r="E1747" s="349"/>
    </row>
    <row r="1748" spans="1:5" ht="15">
      <c r="A1748" s="151"/>
      <c r="B1748" s="347"/>
      <c r="C1748" s="108"/>
      <c r="D1748" s="108"/>
      <c r="E1748" s="349"/>
    </row>
    <row r="1749" spans="1:5" ht="15">
      <c r="A1749" s="151"/>
      <c r="B1749" s="347"/>
      <c r="C1749" s="108"/>
      <c r="D1749" s="108"/>
      <c r="E1749" s="349"/>
    </row>
    <row r="1750" spans="1:5" ht="15">
      <c r="A1750" s="151"/>
      <c r="B1750" s="347"/>
      <c r="C1750" s="108"/>
      <c r="D1750" s="108"/>
      <c r="E1750" s="349"/>
    </row>
    <row r="1751" spans="1:5" ht="15">
      <c r="A1751" s="151"/>
      <c r="B1751" s="347"/>
      <c r="C1751" s="108"/>
      <c r="D1751" s="108"/>
      <c r="E1751" s="349"/>
    </row>
    <row r="1752" spans="1:5" ht="15">
      <c r="A1752" s="151"/>
      <c r="B1752" s="347"/>
      <c r="C1752" s="108"/>
      <c r="D1752" s="108"/>
      <c r="E1752" s="349"/>
    </row>
    <row r="1753" spans="1:5" ht="15">
      <c r="A1753" s="151"/>
      <c r="B1753" s="347"/>
      <c r="C1753" s="108"/>
      <c r="D1753" s="108"/>
      <c r="E1753" s="349"/>
    </row>
    <row r="1754" spans="1:5" ht="15">
      <c r="A1754" s="151"/>
      <c r="B1754" s="347"/>
      <c r="C1754" s="108"/>
      <c r="D1754" s="108"/>
      <c r="E1754" s="349"/>
    </row>
    <row r="1755" spans="1:5" ht="15">
      <c r="A1755" s="151"/>
      <c r="B1755" s="347"/>
      <c r="C1755" s="108"/>
      <c r="D1755" s="108"/>
      <c r="E1755" s="349"/>
    </row>
    <row r="1756" spans="1:5" ht="15">
      <c r="A1756" s="151"/>
      <c r="B1756" s="347"/>
      <c r="C1756" s="108"/>
      <c r="D1756" s="108"/>
      <c r="E1756" s="349"/>
    </row>
    <row r="1757" spans="1:5" ht="15">
      <c r="A1757" s="151"/>
      <c r="B1757" s="347"/>
      <c r="C1757" s="108"/>
      <c r="D1757" s="108"/>
      <c r="E1757" s="349"/>
    </row>
    <row r="1758" spans="1:5" ht="15">
      <c r="A1758" s="151"/>
      <c r="B1758" s="347"/>
      <c r="C1758" s="108"/>
      <c r="D1758" s="108"/>
      <c r="E1758" s="349"/>
    </row>
    <row r="1759" spans="1:5" ht="15">
      <c r="A1759" s="151"/>
      <c r="B1759" s="347"/>
      <c r="C1759" s="108"/>
      <c r="D1759" s="108"/>
      <c r="E1759" s="349"/>
    </row>
    <row r="1760" spans="1:5" ht="15">
      <c r="A1760" s="151"/>
      <c r="B1760" s="347"/>
      <c r="C1760" s="108"/>
      <c r="D1760" s="108"/>
      <c r="E1760" s="349"/>
    </row>
    <row r="1761" spans="1:5" ht="15">
      <c r="A1761" s="151"/>
      <c r="B1761" s="347"/>
      <c r="C1761" s="108"/>
      <c r="D1761" s="108"/>
      <c r="E1761" s="349"/>
    </row>
    <row r="1762" spans="1:5" ht="15">
      <c r="A1762" s="151"/>
      <c r="B1762" s="347"/>
      <c r="C1762" s="108"/>
      <c r="D1762" s="108"/>
      <c r="E1762" s="349"/>
    </row>
    <row r="1763" spans="1:5" ht="15">
      <c r="A1763" s="151"/>
      <c r="B1763" s="347"/>
      <c r="C1763" s="108"/>
      <c r="D1763" s="108"/>
      <c r="E1763" s="349"/>
    </row>
    <row r="1764" spans="1:5" ht="15">
      <c r="A1764" s="151"/>
      <c r="B1764" s="347"/>
      <c r="C1764" s="108"/>
      <c r="D1764" s="108"/>
      <c r="E1764" s="349"/>
    </row>
    <row r="1765" spans="1:5" ht="15">
      <c r="A1765" s="151"/>
      <c r="B1765" s="347"/>
      <c r="C1765" s="108"/>
      <c r="D1765" s="108"/>
      <c r="E1765" s="349"/>
    </row>
    <row r="1766" spans="1:5" ht="15">
      <c r="A1766" s="151"/>
      <c r="B1766" s="347"/>
      <c r="C1766" s="108"/>
      <c r="D1766" s="108"/>
      <c r="E1766" s="349"/>
    </row>
    <row r="1767" spans="1:5" ht="15">
      <c r="A1767" s="151"/>
      <c r="B1767" s="347"/>
      <c r="C1767" s="108"/>
      <c r="D1767" s="108"/>
      <c r="E1767" s="349"/>
    </row>
    <row r="1768" spans="1:5" ht="15">
      <c r="A1768" s="151"/>
      <c r="B1768" s="347"/>
      <c r="C1768" s="108"/>
      <c r="D1768" s="108"/>
      <c r="E1768" s="349"/>
    </row>
    <row r="1769" spans="1:5" ht="15">
      <c r="A1769" s="151"/>
      <c r="B1769" s="347"/>
      <c r="C1769" s="108"/>
      <c r="D1769" s="108"/>
      <c r="E1769" s="349"/>
    </row>
    <row r="1770" spans="1:5" ht="15">
      <c r="A1770" s="151"/>
      <c r="B1770" s="347"/>
      <c r="C1770" s="108"/>
      <c r="D1770" s="108"/>
      <c r="E1770" s="349"/>
    </row>
    <row r="1771" spans="1:5" ht="15">
      <c r="A1771" s="151"/>
      <c r="B1771" s="347"/>
      <c r="C1771" s="108"/>
      <c r="D1771" s="108"/>
      <c r="E1771" s="349"/>
    </row>
    <row r="1772" spans="1:5" ht="15">
      <c r="A1772" s="151"/>
      <c r="B1772" s="347"/>
      <c r="C1772" s="108"/>
      <c r="D1772" s="108"/>
      <c r="E1772" s="349"/>
    </row>
    <row r="1773" spans="1:5" ht="15">
      <c r="A1773" s="151"/>
      <c r="B1773" s="347"/>
      <c r="C1773" s="108"/>
      <c r="D1773" s="108"/>
      <c r="E1773" s="349"/>
    </row>
    <row r="1774" spans="1:5" ht="15">
      <c r="A1774" s="151"/>
      <c r="B1774" s="347"/>
      <c r="C1774" s="108"/>
      <c r="D1774" s="108"/>
      <c r="E1774" s="349"/>
    </row>
    <row r="1775" spans="1:5" ht="15">
      <c r="A1775" s="151"/>
      <c r="B1775" s="347"/>
      <c r="C1775" s="108"/>
      <c r="D1775" s="108"/>
      <c r="E1775" s="349"/>
    </row>
    <row r="1776" spans="1:5" ht="15">
      <c r="A1776" s="151"/>
      <c r="B1776" s="347"/>
      <c r="C1776" s="108"/>
      <c r="D1776" s="108"/>
      <c r="E1776" s="349"/>
    </row>
    <row r="1777" spans="1:5" ht="15">
      <c r="A1777" s="151"/>
      <c r="B1777" s="347"/>
      <c r="C1777" s="108"/>
      <c r="D1777" s="108"/>
      <c r="E1777" s="349"/>
    </row>
    <row r="1778" spans="1:5" ht="15">
      <c r="A1778" s="151"/>
      <c r="B1778" s="347"/>
      <c r="C1778" s="108"/>
      <c r="D1778" s="108"/>
      <c r="E1778" s="349"/>
    </row>
    <row r="1779" spans="1:5" ht="15">
      <c r="A1779" s="151"/>
      <c r="B1779" s="347"/>
      <c r="C1779" s="108"/>
      <c r="D1779" s="108"/>
      <c r="E1779" s="349"/>
    </row>
    <row r="1780" spans="1:5" ht="15">
      <c r="A1780" s="151"/>
      <c r="B1780" s="347"/>
      <c r="C1780" s="108"/>
      <c r="D1780" s="108"/>
      <c r="E1780" s="349"/>
    </row>
    <row r="1781" spans="1:5" ht="15">
      <c r="A1781" s="151"/>
      <c r="B1781" s="347"/>
      <c r="C1781" s="108"/>
      <c r="D1781" s="108"/>
      <c r="E1781" s="349"/>
    </row>
    <row r="1782" spans="1:5" ht="15">
      <c r="A1782" s="151"/>
      <c r="B1782" s="347"/>
      <c r="C1782" s="108"/>
      <c r="D1782" s="108"/>
      <c r="E1782" s="349"/>
    </row>
    <row r="1783" spans="1:5" ht="15">
      <c r="A1783" s="151"/>
      <c r="B1783" s="347"/>
      <c r="C1783" s="108"/>
      <c r="D1783" s="108"/>
      <c r="E1783" s="349"/>
    </row>
    <row r="1784" spans="1:5" ht="15">
      <c r="A1784" s="151"/>
      <c r="B1784" s="347"/>
      <c r="C1784" s="108"/>
      <c r="D1784" s="108"/>
      <c r="E1784" s="349"/>
    </row>
    <row r="1785" spans="1:5" ht="15">
      <c r="A1785" s="151"/>
      <c r="B1785" s="347"/>
      <c r="C1785" s="108"/>
      <c r="D1785" s="108"/>
      <c r="E1785" s="349"/>
    </row>
    <row r="1786" spans="1:5" ht="15">
      <c r="A1786" s="151"/>
      <c r="B1786" s="347"/>
      <c r="C1786" s="108"/>
      <c r="D1786" s="108"/>
      <c r="E1786" s="349"/>
    </row>
    <row r="1787" spans="1:5" ht="15">
      <c r="A1787" s="151"/>
      <c r="B1787" s="347"/>
      <c r="C1787" s="108"/>
      <c r="D1787" s="108"/>
      <c r="E1787" s="349"/>
    </row>
    <row r="1788" spans="1:5" ht="15">
      <c r="A1788" s="151"/>
      <c r="B1788" s="347"/>
      <c r="C1788" s="108"/>
      <c r="D1788" s="108"/>
      <c r="E1788" s="349"/>
    </row>
    <row r="1789" spans="1:5" ht="15">
      <c r="A1789" s="151"/>
      <c r="B1789" s="347"/>
      <c r="C1789" s="108"/>
      <c r="D1789" s="108"/>
      <c r="E1789" s="349"/>
    </row>
    <row r="1790" spans="1:5" ht="15">
      <c r="A1790" s="151"/>
      <c r="B1790" s="347"/>
      <c r="C1790" s="108"/>
      <c r="D1790" s="108"/>
      <c r="E1790" s="349"/>
    </row>
    <row r="1791" spans="1:5" ht="15">
      <c r="A1791" s="151"/>
      <c r="B1791" s="347"/>
      <c r="C1791" s="108"/>
      <c r="D1791" s="108"/>
      <c r="E1791" s="349"/>
    </row>
    <row r="1792" spans="1:5" ht="15">
      <c r="A1792" s="151"/>
      <c r="B1792" s="347"/>
      <c r="C1792" s="108"/>
      <c r="D1792" s="108"/>
      <c r="E1792" s="349"/>
    </row>
    <row r="1793" spans="1:5" ht="15">
      <c r="A1793" s="151"/>
      <c r="B1793" s="347"/>
      <c r="C1793" s="108"/>
      <c r="D1793" s="108"/>
      <c r="E1793" s="349"/>
    </row>
    <row r="1794" spans="1:5" ht="15">
      <c r="A1794" s="151"/>
      <c r="B1794" s="347"/>
      <c r="C1794" s="108"/>
      <c r="D1794" s="108"/>
      <c r="E1794" s="349"/>
    </row>
    <row r="1795" spans="1:5" ht="15">
      <c r="A1795" s="151"/>
      <c r="B1795" s="347"/>
      <c r="C1795" s="108"/>
      <c r="D1795" s="108"/>
      <c r="E1795" s="349"/>
    </row>
    <row r="1796" spans="1:5" ht="15">
      <c r="A1796" s="151"/>
      <c r="B1796" s="347"/>
      <c r="C1796" s="108"/>
      <c r="D1796" s="108"/>
      <c r="E1796" s="349"/>
    </row>
    <row r="1797" spans="1:5" ht="15">
      <c r="A1797" s="151"/>
      <c r="B1797" s="347"/>
      <c r="C1797" s="108"/>
      <c r="D1797" s="108"/>
      <c r="E1797" s="349"/>
    </row>
    <row r="1798" spans="1:5" ht="15">
      <c r="A1798" s="151"/>
      <c r="B1798" s="347"/>
      <c r="C1798" s="108"/>
      <c r="D1798" s="108"/>
      <c r="E1798" s="349"/>
    </row>
    <row r="1799" spans="1:5" ht="15">
      <c r="A1799" s="151"/>
      <c r="B1799" s="347"/>
      <c r="C1799" s="108"/>
      <c r="D1799" s="108"/>
      <c r="E1799" s="349"/>
    </row>
    <row r="1800" spans="1:5" ht="15">
      <c r="A1800" s="151"/>
      <c r="B1800" s="347"/>
      <c r="C1800" s="108"/>
      <c r="D1800" s="108"/>
      <c r="E1800" s="349"/>
    </row>
    <row r="1801" spans="1:5" ht="15">
      <c r="A1801" s="151"/>
      <c r="B1801" s="347"/>
      <c r="C1801" s="108"/>
      <c r="D1801" s="108"/>
      <c r="E1801" s="349"/>
    </row>
    <row r="1802" spans="1:5" ht="15">
      <c r="A1802" s="151"/>
      <c r="B1802" s="347"/>
      <c r="C1802" s="108"/>
      <c r="D1802" s="108"/>
      <c r="E1802" s="349"/>
    </row>
    <row r="1803" spans="1:5" ht="15">
      <c r="A1803" s="151"/>
      <c r="B1803" s="347"/>
      <c r="C1803" s="108"/>
      <c r="D1803" s="108"/>
      <c r="E1803" s="349"/>
    </row>
    <row r="1804" spans="1:5" ht="15">
      <c r="A1804" s="151"/>
      <c r="B1804" s="347"/>
      <c r="C1804" s="108"/>
      <c r="D1804" s="108"/>
      <c r="E1804" s="349"/>
    </row>
    <row r="1805" spans="1:5" ht="15">
      <c r="A1805" s="151"/>
      <c r="B1805" s="347"/>
      <c r="C1805" s="108"/>
      <c r="D1805" s="108"/>
      <c r="E1805" s="349"/>
    </row>
    <row r="1806" spans="1:5" ht="15">
      <c r="A1806" s="151"/>
      <c r="B1806" s="347"/>
      <c r="C1806" s="108"/>
      <c r="D1806" s="108"/>
      <c r="E1806" s="349"/>
    </row>
    <row r="1807" spans="1:5" ht="15">
      <c r="A1807" s="151"/>
      <c r="B1807" s="347"/>
      <c r="C1807" s="108"/>
      <c r="D1807" s="108"/>
      <c r="E1807" s="349"/>
    </row>
    <row r="1808" spans="1:5" ht="15">
      <c r="A1808" s="151"/>
      <c r="B1808" s="347"/>
      <c r="C1808" s="108"/>
      <c r="D1808" s="108"/>
      <c r="E1808" s="349"/>
    </row>
    <row r="1809" spans="1:5" ht="15">
      <c r="A1809" s="151"/>
      <c r="B1809" s="347"/>
      <c r="C1809" s="108"/>
      <c r="D1809" s="108"/>
      <c r="E1809" s="349"/>
    </row>
    <row r="1810" spans="1:5" ht="15">
      <c r="A1810" s="151"/>
      <c r="B1810" s="347"/>
      <c r="C1810" s="108"/>
      <c r="D1810" s="108"/>
      <c r="E1810" s="349"/>
    </row>
    <row r="1811" spans="1:5" ht="15">
      <c r="A1811" s="151"/>
      <c r="B1811" s="347"/>
      <c r="C1811" s="108"/>
      <c r="D1811" s="108"/>
      <c r="E1811" s="349"/>
    </row>
    <row r="1812" spans="1:5" ht="15">
      <c r="A1812" s="151"/>
      <c r="B1812" s="347"/>
      <c r="C1812" s="108"/>
      <c r="D1812" s="108"/>
      <c r="E1812" s="349"/>
    </row>
    <row r="1813" spans="1:5" ht="15">
      <c r="A1813" s="151"/>
      <c r="B1813" s="347"/>
      <c r="C1813" s="108"/>
      <c r="D1813" s="108"/>
      <c r="E1813" s="349"/>
    </row>
    <row r="1814" spans="1:5" ht="15">
      <c r="A1814" s="151"/>
      <c r="B1814" s="347"/>
      <c r="C1814" s="108"/>
      <c r="D1814" s="108"/>
      <c r="E1814" s="349"/>
    </row>
    <row r="1815" spans="1:5" ht="15">
      <c r="A1815" s="151"/>
      <c r="B1815" s="347"/>
      <c r="C1815" s="108"/>
      <c r="D1815" s="108"/>
      <c r="E1815" s="349"/>
    </row>
    <row r="1816" spans="1:5" ht="15">
      <c r="A1816" s="151"/>
      <c r="B1816" s="347"/>
      <c r="C1816" s="108"/>
      <c r="D1816" s="108"/>
      <c r="E1816" s="349"/>
    </row>
    <row r="1817" spans="1:5" ht="15">
      <c r="A1817" s="151"/>
      <c r="B1817" s="347"/>
      <c r="C1817" s="108"/>
      <c r="D1817" s="108"/>
      <c r="E1817" s="349"/>
    </row>
    <row r="1818" spans="1:5" ht="15">
      <c r="A1818" s="151"/>
      <c r="B1818" s="347"/>
      <c r="C1818" s="108"/>
      <c r="D1818" s="108"/>
      <c r="E1818" s="349"/>
    </row>
    <row r="1819" spans="1:5" ht="15">
      <c r="A1819" s="151"/>
      <c r="B1819" s="347"/>
      <c r="C1819" s="108"/>
      <c r="D1819" s="108"/>
      <c r="E1819" s="349"/>
    </row>
    <row r="1820" spans="1:5" ht="15">
      <c r="A1820" s="151"/>
      <c r="B1820" s="347"/>
      <c r="C1820" s="108"/>
      <c r="D1820" s="108"/>
      <c r="E1820" s="349"/>
    </row>
    <row r="1821" spans="1:5" ht="15">
      <c r="A1821" s="151"/>
      <c r="B1821" s="347"/>
      <c r="C1821" s="108"/>
      <c r="D1821" s="108"/>
      <c r="E1821" s="349"/>
    </row>
    <row r="1822" spans="1:5" ht="15">
      <c r="A1822" s="151"/>
      <c r="B1822" s="347"/>
      <c r="C1822" s="108"/>
      <c r="D1822" s="108"/>
      <c r="E1822" s="349"/>
    </row>
    <row r="1823" spans="1:5" ht="15">
      <c r="A1823" s="151"/>
      <c r="B1823" s="347"/>
      <c r="C1823" s="108"/>
      <c r="D1823" s="108"/>
      <c r="E1823" s="349"/>
    </row>
    <row r="1824" spans="1:5" ht="15">
      <c r="A1824" s="151"/>
      <c r="B1824" s="347"/>
      <c r="C1824" s="108"/>
      <c r="D1824" s="108"/>
      <c r="E1824" s="349"/>
    </row>
    <row r="1825" spans="1:5" ht="15">
      <c r="A1825" s="151"/>
      <c r="B1825" s="347"/>
      <c r="C1825" s="108"/>
      <c r="D1825" s="108"/>
      <c r="E1825" s="349"/>
    </row>
    <row r="1826" spans="1:5" ht="15">
      <c r="A1826" s="151"/>
      <c r="B1826" s="347"/>
      <c r="C1826" s="108"/>
      <c r="D1826" s="108"/>
      <c r="E1826" s="349"/>
    </row>
    <row r="1827" spans="1:5" ht="15">
      <c r="A1827" s="151"/>
      <c r="B1827" s="347"/>
      <c r="C1827" s="108"/>
      <c r="D1827" s="108"/>
      <c r="E1827" s="349"/>
    </row>
    <row r="1828" spans="1:5" ht="15">
      <c r="A1828" s="151"/>
      <c r="B1828" s="347"/>
      <c r="C1828" s="108"/>
      <c r="D1828" s="108"/>
      <c r="E1828" s="349"/>
    </row>
    <row r="1829" spans="1:5" ht="15">
      <c r="A1829" s="151"/>
      <c r="B1829" s="347"/>
      <c r="C1829" s="108"/>
      <c r="D1829" s="108"/>
      <c r="E1829" s="349"/>
    </row>
    <row r="1830" spans="1:5" ht="15">
      <c r="A1830" s="151"/>
      <c r="B1830" s="347"/>
      <c r="C1830" s="108"/>
      <c r="D1830" s="108"/>
      <c r="E1830" s="349"/>
    </row>
    <row r="1831" spans="1:5" ht="15">
      <c r="A1831" s="151"/>
      <c r="B1831" s="347"/>
      <c r="C1831" s="108"/>
      <c r="D1831" s="108"/>
      <c r="E1831" s="349"/>
    </row>
    <row r="1832" spans="1:5" ht="15">
      <c r="A1832" s="151"/>
      <c r="B1832" s="347"/>
      <c r="C1832" s="108"/>
      <c r="D1832" s="108"/>
      <c r="E1832" s="349"/>
    </row>
    <row r="1833" spans="1:5" ht="15">
      <c r="A1833" s="151"/>
      <c r="B1833" s="347"/>
      <c r="C1833" s="108"/>
      <c r="D1833" s="108"/>
      <c r="E1833" s="349"/>
    </row>
    <row r="1834" spans="1:5" ht="15">
      <c r="A1834" s="151"/>
      <c r="B1834" s="347"/>
      <c r="C1834" s="108"/>
      <c r="D1834" s="108"/>
      <c r="E1834" s="349"/>
    </row>
    <row r="1835" spans="1:5" ht="15">
      <c r="A1835" s="151"/>
      <c r="B1835" s="347"/>
      <c r="C1835" s="108"/>
      <c r="D1835" s="108"/>
      <c r="E1835" s="349"/>
    </row>
    <row r="1836" spans="1:5" ht="15">
      <c r="A1836" s="151"/>
      <c r="B1836" s="347"/>
      <c r="C1836" s="108"/>
      <c r="D1836" s="108"/>
      <c r="E1836" s="349"/>
    </row>
    <row r="1837" spans="1:5" ht="15">
      <c r="A1837" s="151"/>
      <c r="B1837" s="347"/>
      <c r="C1837" s="108"/>
      <c r="D1837" s="108"/>
      <c r="E1837" s="349"/>
    </row>
    <row r="1838" spans="1:5" ht="15">
      <c r="A1838" s="151"/>
      <c r="B1838" s="347"/>
      <c r="C1838" s="108"/>
      <c r="D1838" s="108"/>
      <c r="E1838" s="349"/>
    </row>
    <row r="1839" spans="1:5" ht="15">
      <c r="A1839" s="151"/>
      <c r="B1839" s="347"/>
      <c r="C1839" s="108"/>
      <c r="D1839" s="108"/>
      <c r="E1839" s="349"/>
    </row>
    <row r="1840" spans="1:5" ht="15">
      <c r="A1840" s="151"/>
      <c r="B1840" s="347"/>
      <c r="C1840" s="108"/>
      <c r="D1840" s="108"/>
      <c r="E1840" s="349"/>
    </row>
    <row r="1841" spans="1:5" ht="15">
      <c r="A1841" s="151"/>
      <c r="B1841" s="347"/>
      <c r="C1841" s="108"/>
      <c r="D1841" s="108"/>
      <c r="E1841" s="349"/>
    </row>
    <row r="1842" spans="1:5" ht="15">
      <c r="A1842" s="151"/>
      <c r="B1842" s="347"/>
      <c r="C1842" s="108"/>
      <c r="D1842" s="108"/>
      <c r="E1842" s="349"/>
    </row>
    <row r="1843" spans="1:5" ht="15">
      <c r="A1843" s="151"/>
      <c r="B1843" s="347"/>
      <c r="C1843" s="108"/>
      <c r="D1843" s="108"/>
      <c r="E1843" s="349"/>
    </row>
    <row r="1844" spans="1:5" ht="15">
      <c r="A1844" s="151"/>
      <c r="B1844" s="347"/>
      <c r="C1844" s="108"/>
      <c r="D1844" s="108"/>
      <c r="E1844" s="349"/>
    </row>
    <row r="1845" spans="1:5" ht="15">
      <c r="A1845" s="151"/>
      <c r="B1845" s="347"/>
      <c r="C1845" s="108"/>
      <c r="D1845" s="108"/>
      <c r="E1845" s="349"/>
    </row>
    <row r="1846" spans="1:5" ht="15">
      <c r="A1846" s="151"/>
      <c r="B1846" s="347"/>
      <c r="C1846" s="108"/>
      <c r="D1846" s="108"/>
      <c r="E1846" s="349"/>
    </row>
    <row r="1847" spans="1:5" ht="15">
      <c r="A1847" s="151"/>
      <c r="B1847" s="347"/>
      <c r="C1847" s="108"/>
      <c r="D1847" s="108"/>
      <c r="E1847" s="349"/>
    </row>
    <row r="1848" spans="1:5" ht="15">
      <c r="A1848" s="151"/>
      <c r="B1848" s="347"/>
      <c r="C1848" s="108"/>
      <c r="D1848" s="108"/>
      <c r="E1848" s="349"/>
    </row>
    <row r="1849" spans="1:5" ht="15">
      <c r="A1849" s="151"/>
      <c r="B1849" s="347"/>
      <c r="C1849" s="108"/>
      <c r="D1849" s="108"/>
      <c r="E1849" s="349"/>
    </row>
    <row r="1850" spans="1:5" ht="15">
      <c r="A1850" s="151"/>
      <c r="B1850" s="347"/>
      <c r="C1850" s="108"/>
      <c r="D1850" s="108"/>
      <c r="E1850" s="349"/>
    </row>
    <row r="1851" spans="1:5" ht="15">
      <c r="A1851" s="151"/>
      <c r="B1851" s="347"/>
      <c r="C1851" s="108"/>
      <c r="D1851" s="108"/>
      <c r="E1851" s="349"/>
    </row>
    <row r="1852" spans="1:5" ht="15">
      <c r="A1852" s="151"/>
      <c r="B1852" s="347"/>
      <c r="C1852" s="108"/>
      <c r="D1852" s="108"/>
      <c r="E1852" s="349"/>
    </row>
    <row r="1853" spans="1:5" ht="15">
      <c r="A1853" s="151"/>
      <c r="B1853" s="347"/>
      <c r="C1853" s="108"/>
      <c r="D1853" s="108"/>
      <c r="E1853" s="349"/>
    </row>
    <row r="1854" spans="1:5" ht="15">
      <c r="A1854" s="151"/>
      <c r="B1854" s="347"/>
      <c r="C1854" s="108"/>
      <c r="D1854" s="108"/>
      <c r="E1854" s="349"/>
    </row>
    <row r="1855" spans="1:5" ht="15">
      <c r="A1855" s="151"/>
      <c r="B1855" s="347"/>
      <c r="C1855" s="108"/>
      <c r="D1855" s="108"/>
      <c r="E1855" s="349"/>
    </row>
    <row r="1856" spans="1:5" ht="15">
      <c r="A1856" s="151"/>
      <c r="B1856" s="347"/>
      <c r="C1856" s="108"/>
      <c r="D1856" s="108"/>
      <c r="E1856" s="349"/>
    </row>
    <row r="1857" spans="1:5" ht="15">
      <c r="A1857" s="151"/>
      <c r="B1857" s="347"/>
      <c r="C1857" s="108"/>
      <c r="D1857" s="108"/>
      <c r="E1857" s="349"/>
    </row>
    <row r="1858" spans="1:5" ht="15">
      <c r="A1858" s="151"/>
      <c r="B1858" s="347"/>
      <c r="C1858" s="108"/>
      <c r="D1858" s="108"/>
      <c r="E1858" s="349"/>
    </row>
    <row r="1859" spans="1:5" ht="15">
      <c r="A1859" s="151"/>
      <c r="B1859" s="347"/>
      <c r="C1859" s="108"/>
      <c r="D1859" s="108"/>
      <c r="E1859" s="349"/>
    </row>
    <row r="1860" spans="1:5" ht="15">
      <c r="A1860" s="151"/>
      <c r="B1860" s="347"/>
      <c r="C1860" s="108"/>
      <c r="D1860" s="108"/>
      <c r="E1860" s="349"/>
    </row>
    <row r="1861" spans="1:5" ht="15">
      <c r="A1861" s="151"/>
      <c r="B1861" s="347"/>
      <c r="C1861" s="108"/>
      <c r="D1861" s="108"/>
      <c r="E1861" s="349"/>
    </row>
    <row r="1862" spans="1:5" ht="15">
      <c r="A1862" s="151"/>
      <c r="B1862" s="347"/>
      <c r="C1862" s="108"/>
      <c r="D1862" s="108"/>
      <c r="E1862" s="349"/>
    </row>
    <row r="1863" spans="1:5" ht="15">
      <c r="A1863" s="151"/>
      <c r="B1863" s="347"/>
      <c r="C1863" s="108"/>
      <c r="D1863" s="108"/>
      <c r="E1863" s="349"/>
    </row>
    <row r="1864" spans="1:5" ht="15">
      <c r="A1864" s="151"/>
      <c r="B1864" s="347"/>
      <c r="C1864" s="108"/>
      <c r="D1864" s="108"/>
      <c r="E1864" s="349"/>
    </row>
    <row r="1865" spans="1:5" ht="15">
      <c r="A1865" s="151"/>
      <c r="B1865" s="347"/>
      <c r="C1865" s="108"/>
      <c r="D1865" s="108"/>
      <c r="E1865" s="349"/>
    </row>
    <row r="1866" spans="1:5" ht="15">
      <c r="A1866" s="151"/>
      <c r="B1866" s="347"/>
      <c r="C1866" s="108"/>
      <c r="D1866" s="108"/>
      <c r="E1866" s="349"/>
    </row>
    <row r="1867" spans="1:5" ht="15">
      <c r="A1867" s="151"/>
      <c r="B1867" s="347"/>
      <c r="C1867" s="108"/>
      <c r="D1867" s="108"/>
      <c r="E1867" s="349"/>
    </row>
    <row r="1868" spans="1:5" ht="15">
      <c r="A1868" s="151"/>
      <c r="B1868" s="347"/>
      <c r="C1868" s="108"/>
      <c r="D1868" s="108"/>
      <c r="E1868" s="349"/>
    </row>
    <row r="1869" spans="1:5" ht="15">
      <c r="A1869" s="151"/>
      <c r="B1869" s="347"/>
      <c r="C1869" s="108"/>
      <c r="D1869" s="108"/>
      <c r="E1869" s="349"/>
    </row>
    <row r="1870" spans="1:5" ht="15">
      <c r="A1870" s="151"/>
      <c r="B1870" s="347"/>
      <c r="C1870" s="108"/>
      <c r="D1870" s="108"/>
      <c r="E1870" s="349"/>
    </row>
    <row r="1871" spans="1:5" ht="15">
      <c r="A1871" s="151"/>
      <c r="B1871" s="347"/>
      <c r="C1871" s="108"/>
      <c r="D1871" s="108"/>
      <c r="E1871" s="349"/>
    </row>
    <row r="1872" spans="1:5" ht="15">
      <c r="A1872" s="151"/>
      <c r="B1872" s="347"/>
      <c r="C1872" s="108"/>
      <c r="D1872" s="108"/>
      <c r="E1872" s="349"/>
    </row>
    <row r="1873" spans="1:5" ht="15">
      <c r="A1873" s="151"/>
      <c r="B1873" s="347"/>
      <c r="C1873" s="108"/>
      <c r="D1873" s="108"/>
      <c r="E1873" s="349"/>
    </row>
    <row r="1874" spans="1:5" ht="15">
      <c r="A1874" s="151"/>
      <c r="B1874" s="347"/>
      <c r="C1874" s="108"/>
      <c r="D1874" s="108"/>
      <c r="E1874" s="349"/>
    </row>
    <row r="1875" spans="1:5" ht="15">
      <c r="A1875" s="151"/>
      <c r="B1875" s="347"/>
      <c r="C1875" s="108"/>
      <c r="D1875" s="108"/>
      <c r="E1875" s="349"/>
    </row>
    <row r="1876" spans="1:5" ht="15">
      <c r="A1876" s="151"/>
      <c r="B1876" s="347"/>
      <c r="C1876" s="108"/>
      <c r="D1876" s="108"/>
      <c r="E1876" s="349"/>
    </row>
    <row r="1877" spans="1:5" ht="15">
      <c r="A1877" s="151"/>
      <c r="B1877" s="347"/>
      <c r="C1877" s="108"/>
      <c r="D1877" s="108"/>
      <c r="E1877" s="349"/>
    </row>
    <row r="1878" spans="1:5" ht="15">
      <c r="A1878" s="151"/>
      <c r="B1878" s="347"/>
      <c r="C1878" s="108"/>
      <c r="D1878" s="108"/>
      <c r="E1878" s="349"/>
    </row>
    <row r="1879" spans="1:5" ht="15">
      <c r="A1879" s="151"/>
      <c r="B1879" s="347"/>
      <c r="C1879" s="108"/>
      <c r="D1879" s="108"/>
      <c r="E1879" s="349"/>
    </row>
    <row r="1880" spans="1:5" ht="15">
      <c r="A1880" s="151"/>
      <c r="B1880" s="347"/>
      <c r="C1880" s="108"/>
      <c r="D1880" s="108"/>
      <c r="E1880" s="349"/>
    </row>
    <row r="1881" spans="1:5" ht="15">
      <c r="A1881" s="151"/>
      <c r="B1881" s="347"/>
      <c r="C1881" s="108"/>
      <c r="D1881" s="108"/>
      <c r="E1881" s="349"/>
    </row>
    <row r="1882" spans="1:5" ht="15">
      <c r="A1882" s="151"/>
      <c r="B1882" s="347"/>
      <c r="C1882" s="108"/>
      <c r="D1882" s="108"/>
      <c r="E1882" s="349"/>
    </row>
    <row r="1883" spans="1:5" ht="15">
      <c r="A1883" s="151"/>
      <c r="B1883" s="347"/>
      <c r="C1883" s="108"/>
      <c r="D1883" s="108"/>
      <c r="E1883" s="349"/>
    </row>
    <row r="1884" spans="1:5" ht="15">
      <c r="A1884" s="151"/>
      <c r="B1884" s="347"/>
      <c r="C1884" s="108"/>
      <c r="D1884" s="108"/>
      <c r="E1884" s="349"/>
    </row>
    <row r="1885" spans="1:5" ht="15">
      <c r="A1885" s="151"/>
      <c r="B1885" s="347"/>
      <c r="C1885" s="108"/>
      <c r="D1885" s="108"/>
      <c r="E1885" s="349"/>
    </row>
    <row r="1886" spans="1:5" ht="15">
      <c r="A1886" s="151"/>
      <c r="B1886" s="347"/>
      <c r="C1886" s="108"/>
      <c r="D1886" s="108"/>
      <c r="E1886" s="349"/>
    </row>
    <row r="1887" spans="1:5" ht="15">
      <c r="A1887" s="151"/>
      <c r="B1887" s="347"/>
      <c r="C1887" s="108"/>
      <c r="D1887" s="108"/>
      <c r="E1887" s="349"/>
    </row>
    <row r="1888" spans="1:5" ht="15">
      <c r="A1888" s="151"/>
      <c r="B1888" s="347"/>
      <c r="C1888" s="108"/>
      <c r="D1888" s="108"/>
      <c r="E1888" s="349"/>
    </row>
    <row r="1889" spans="1:5" ht="15">
      <c r="A1889" s="151"/>
      <c r="B1889" s="347"/>
      <c r="C1889" s="108"/>
      <c r="D1889" s="108"/>
      <c r="E1889" s="349"/>
    </row>
    <row r="1890" spans="1:5" ht="15">
      <c r="A1890" s="151"/>
      <c r="B1890" s="347"/>
      <c r="C1890" s="108"/>
      <c r="D1890" s="108"/>
      <c r="E1890" s="349"/>
    </row>
    <row r="1891" spans="1:5" ht="15">
      <c r="A1891" s="151"/>
      <c r="B1891" s="347"/>
      <c r="C1891" s="108"/>
      <c r="D1891" s="108"/>
      <c r="E1891" s="349"/>
    </row>
    <row r="1892" spans="1:5" ht="15">
      <c r="A1892" s="151"/>
      <c r="B1892" s="347"/>
      <c r="C1892" s="108"/>
      <c r="D1892" s="108"/>
      <c r="E1892" s="349"/>
    </row>
    <row r="1893" spans="1:5" ht="15">
      <c r="A1893" s="151"/>
      <c r="B1893" s="347"/>
      <c r="C1893" s="108"/>
      <c r="D1893" s="108"/>
      <c r="E1893" s="349"/>
    </row>
    <row r="1894" spans="1:5" ht="15">
      <c r="A1894" s="151"/>
      <c r="B1894" s="347"/>
      <c r="C1894" s="108"/>
      <c r="D1894" s="108"/>
      <c r="E1894" s="349"/>
    </row>
    <row r="1895" spans="1:5" ht="15">
      <c r="A1895" s="151"/>
      <c r="B1895" s="347"/>
      <c r="C1895" s="108"/>
      <c r="D1895" s="108"/>
      <c r="E1895" s="349"/>
    </row>
    <row r="1896" spans="1:5" ht="15">
      <c r="A1896" s="151"/>
      <c r="B1896" s="347"/>
      <c r="C1896" s="108"/>
      <c r="D1896" s="108"/>
      <c r="E1896" s="349"/>
    </row>
    <row r="1897" spans="1:5" ht="15">
      <c r="A1897" s="151"/>
      <c r="B1897" s="347"/>
      <c r="C1897" s="108"/>
      <c r="D1897" s="108"/>
      <c r="E1897" s="349"/>
    </row>
    <row r="1898" spans="1:5" ht="15">
      <c r="A1898" s="151"/>
      <c r="B1898" s="347"/>
      <c r="C1898" s="108"/>
      <c r="D1898" s="108"/>
      <c r="E1898" s="349"/>
    </row>
    <row r="1899" spans="1:5" ht="15">
      <c r="A1899" s="151"/>
      <c r="B1899" s="347"/>
      <c r="C1899" s="108"/>
      <c r="D1899" s="108"/>
      <c r="E1899" s="349"/>
    </row>
    <row r="1900" spans="1:5" ht="15">
      <c r="A1900" s="151"/>
      <c r="B1900" s="347"/>
      <c r="C1900" s="108"/>
      <c r="D1900" s="108"/>
      <c r="E1900" s="349"/>
    </row>
    <row r="1901" spans="1:5" ht="15">
      <c r="A1901" s="151"/>
      <c r="B1901" s="347"/>
      <c r="C1901" s="108"/>
      <c r="D1901" s="108"/>
      <c r="E1901" s="349"/>
    </row>
    <row r="1902" spans="1:5" ht="15">
      <c r="A1902" s="151"/>
      <c r="B1902" s="347"/>
      <c r="C1902" s="108"/>
      <c r="D1902" s="108"/>
      <c r="E1902" s="349"/>
    </row>
    <row r="1903" spans="1:5" ht="15">
      <c r="A1903" s="151"/>
      <c r="B1903" s="347"/>
      <c r="C1903" s="108"/>
      <c r="D1903" s="108"/>
      <c r="E1903" s="349"/>
    </row>
    <row r="1904" spans="1:5" ht="15">
      <c r="A1904" s="151"/>
      <c r="B1904" s="347"/>
      <c r="C1904" s="108"/>
      <c r="D1904" s="108"/>
      <c r="E1904" s="349"/>
    </row>
    <row r="1905" spans="1:5" ht="15">
      <c r="A1905" s="151"/>
      <c r="B1905" s="347"/>
      <c r="C1905" s="108"/>
      <c r="D1905" s="108"/>
      <c r="E1905" s="349"/>
    </row>
    <row r="1906" spans="1:5" ht="15">
      <c r="A1906" s="151"/>
      <c r="B1906" s="347"/>
      <c r="C1906" s="108"/>
      <c r="D1906" s="108"/>
      <c r="E1906" s="349"/>
    </row>
    <row r="1907" spans="1:5" ht="15">
      <c r="A1907" s="151"/>
      <c r="B1907" s="347"/>
      <c r="C1907" s="108"/>
      <c r="D1907" s="108"/>
      <c r="E1907" s="349"/>
    </row>
    <row r="1908" spans="1:5" ht="15">
      <c r="A1908" s="151"/>
      <c r="B1908" s="347"/>
      <c r="C1908" s="108"/>
      <c r="D1908" s="108"/>
      <c r="E1908" s="349"/>
    </row>
    <row r="1909" spans="1:5" ht="15">
      <c r="A1909" s="151"/>
      <c r="B1909" s="347"/>
      <c r="C1909" s="108"/>
      <c r="D1909" s="108"/>
      <c r="E1909" s="349"/>
    </row>
    <row r="1910" spans="1:5" ht="15">
      <c r="A1910" s="151"/>
      <c r="B1910" s="347"/>
      <c r="C1910" s="108"/>
      <c r="D1910" s="108"/>
      <c r="E1910" s="349"/>
    </row>
    <row r="1911" spans="1:5" ht="15">
      <c r="A1911" s="151"/>
      <c r="B1911" s="347"/>
      <c r="C1911" s="108"/>
      <c r="D1911" s="108"/>
      <c r="E1911" s="349"/>
    </row>
    <row r="1912" spans="1:5" ht="15">
      <c r="A1912" s="151"/>
      <c r="B1912" s="347"/>
      <c r="C1912" s="108"/>
      <c r="D1912" s="108"/>
      <c r="E1912" s="349"/>
    </row>
    <row r="1913" spans="1:5" ht="15">
      <c r="A1913" s="151"/>
      <c r="B1913" s="347"/>
      <c r="C1913" s="108"/>
      <c r="D1913" s="108"/>
      <c r="E1913" s="349"/>
    </row>
    <row r="1914" spans="1:5" ht="15">
      <c r="A1914" s="151"/>
      <c r="B1914" s="347"/>
      <c r="C1914" s="108"/>
      <c r="D1914" s="108"/>
      <c r="E1914" s="349"/>
    </row>
    <row r="1915" spans="1:5" ht="15">
      <c r="A1915" s="151"/>
      <c r="B1915" s="347"/>
      <c r="C1915" s="108"/>
      <c r="D1915" s="108"/>
      <c r="E1915" s="349"/>
    </row>
    <row r="1916" spans="1:5" ht="15">
      <c r="A1916" s="151"/>
      <c r="B1916" s="347"/>
      <c r="C1916" s="108"/>
      <c r="D1916" s="108"/>
      <c r="E1916" s="349"/>
    </row>
    <row r="1917" spans="1:5" ht="15">
      <c r="A1917" s="151"/>
      <c r="B1917" s="347"/>
      <c r="C1917" s="108"/>
      <c r="D1917" s="108"/>
      <c r="E1917" s="349"/>
    </row>
    <row r="1918" spans="1:5" ht="15">
      <c r="A1918" s="151"/>
      <c r="B1918" s="347"/>
      <c r="C1918" s="108"/>
      <c r="D1918" s="108"/>
      <c r="E1918" s="349"/>
    </row>
    <row r="1919" spans="1:5" ht="15">
      <c r="A1919" s="151"/>
      <c r="B1919" s="347"/>
      <c r="C1919" s="108"/>
      <c r="D1919" s="108"/>
      <c r="E1919" s="349"/>
    </row>
    <row r="1920" spans="1:5" ht="15">
      <c r="A1920" s="151"/>
      <c r="B1920" s="347"/>
      <c r="C1920" s="108"/>
      <c r="D1920" s="108"/>
      <c r="E1920" s="349"/>
    </row>
    <row r="1921" spans="1:5" ht="15">
      <c r="A1921" s="151"/>
      <c r="B1921" s="347"/>
      <c r="C1921" s="108"/>
      <c r="D1921" s="108"/>
      <c r="E1921" s="349"/>
    </row>
    <row r="1922" spans="1:5" ht="15">
      <c r="A1922" s="151"/>
      <c r="B1922" s="347"/>
      <c r="C1922" s="108"/>
      <c r="D1922" s="108"/>
      <c r="E1922" s="349"/>
    </row>
    <row r="1923" spans="1:5" ht="15">
      <c r="A1923" s="151"/>
      <c r="B1923" s="347"/>
      <c r="C1923" s="108"/>
      <c r="D1923" s="108"/>
      <c r="E1923" s="349"/>
    </row>
    <row r="1924" spans="1:5" ht="15">
      <c r="A1924" s="151"/>
      <c r="B1924" s="347"/>
      <c r="C1924" s="108"/>
      <c r="D1924" s="108"/>
      <c r="E1924" s="349"/>
    </row>
    <row r="1925" spans="1:5" ht="15">
      <c r="A1925" s="151"/>
      <c r="B1925" s="347"/>
      <c r="C1925" s="108"/>
      <c r="D1925" s="108"/>
      <c r="E1925" s="349"/>
    </row>
    <row r="1926" spans="1:5" ht="15">
      <c r="A1926" s="151"/>
      <c r="B1926" s="347"/>
      <c r="C1926" s="108"/>
      <c r="D1926" s="108"/>
      <c r="E1926" s="349"/>
    </row>
    <row r="1927" spans="1:5" ht="15">
      <c r="A1927" s="151"/>
      <c r="B1927" s="347"/>
      <c r="C1927" s="108"/>
      <c r="D1927" s="108"/>
      <c r="E1927" s="349"/>
    </row>
    <row r="1928" spans="1:5" ht="15">
      <c r="A1928" s="151"/>
      <c r="B1928" s="347"/>
      <c r="C1928" s="108"/>
      <c r="D1928" s="108"/>
      <c r="E1928" s="349"/>
    </row>
    <row r="1929" spans="1:5" ht="15">
      <c r="A1929" s="151"/>
      <c r="B1929" s="347"/>
      <c r="C1929" s="108"/>
      <c r="D1929" s="108"/>
      <c r="E1929" s="349"/>
    </row>
    <row r="1930" spans="1:5" ht="15">
      <c r="A1930" s="151"/>
      <c r="B1930" s="347"/>
      <c r="C1930" s="108"/>
      <c r="D1930" s="108"/>
      <c r="E1930" s="349"/>
    </row>
    <row r="1931" spans="1:5" ht="15">
      <c r="A1931" s="151"/>
      <c r="B1931" s="347"/>
      <c r="C1931" s="108"/>
      <c r="D1931" s="108"/>
      <c r="E1931" s="349"/>
    </row>
    <row r="1932" spans="1:5" ht="15">
      <c r="A1932" s="151"/>
      <c r="B1932" s="347"/>
      <c r="C1932" s="108"/>
      <c r="D1932" s="108"/>
      <c r="E1932" s="349"/>
    </row>
    <row r="1933" spans="1:5" ht="15">
      <c r="A1933" s="151"/>
      <c r="B1933" s="347"/>
      <c r="C1933" s="108"/>
      <c r="D1933" s="108"/>
      <c r="E1933" s="349"/>
    </row>
    <row r="1934" spans="1:5" ht="15">
      <c r="A1934" s="151"/>
      <c r="B1934" s="347"/>
      <c r="C1934" s="108"/>
      <c r="D1934" s="108"/>
      <c r="E1934" s="349"/>
    </row>
    <row r="1935" spans="1:5" ht="15">
      <c r="A1935" s="151"/>
      <c r="B1935" s="347"/>
      <c r="C1935" s="108"/>
      <c r="D1935" s="108"/>
      <c r="E1935" s="349"/>
    </row>
    <row r="1936" spans="1:5" ht="15">
      <c r="A1936" s="151"/>
      <c r="B1936" s="347"/>
      <c r="C1936" s="108"/>
      <c r="D1936" s="108"/>
      <c r="E1936" s="349"/>
    </row>
    <row r="1937" spans="1:5" ht="15">
      <c r="A1937" s="151"/>
      <c r="B1937" s="347"/>
      <c r="C1937" s="108"/>
      <c r="D1937" s="108"/>
      <c r="E1937" s="349"/>
    </row>
    <row r="1938" spans="1:5" ht="15">
      <c r="A1938" s="151"/>
      <c r="B1938" s="347"/>
      <c r="C1938" s="108"/>
      <c r="D1938" s="108"/>
      <c r="E1938" s="349"/>
    </row>
    <row r="1939" spans="1:5" ht="15">
      <c r="A1939" s="151"/>
      <c r="B1939" s="347"/>
      <c r="C1939" s="108"/>
      <c r="D1939" s="108"/>
      <c r="E1939" s="349"/>
    </row>
    <row r="1940" spans="1:5" ht="15">
      <c r="A1940" s="151"/>
      <c r="B1940" s="347"/>
      <c r="C1940" s="108"/>
      <c r="D1940" s="108"/>
      <c r="E1940" s="349"/>
    </row>
    <row r="1941" spans="1:5" ht="15">
      <c r="A1941" s="151"/>
      <c r="B1941" s="347"/>
      <c r="C1941" s="108"/>
      <c r="D1941" s="108"/>
      <c r="E1941" s="349"/>
    </row>
    <row r="1942" spans="1:5" ht="15">
      <c r="A1942" s="151"/>
      <c r="B1942" s="347"/>
      <c r="C1942" s="108"/>
      <c r="D1942" s="108"/>
      <c r="E1942" s="349"/>
    </row>
    <row r="1943" spans="1:5" ht="15">
      <c r="A1943" s="151"/>
      <c r="B1943" s="347"/>
      <c r="C1943" s="108"/>
      <c r="D1943" s="108"/>
      <c r="E1943" s="349"/>
    </row>
    <row r="1944" spans="1:5" ht="15">
      <c r="A1944" s="151"/>
      <c r="B1944" s="347"/>
      <c r="C1944" s="108"/>
      <c r="D1944" s="108"/>
      <c r="E1944" s="349"/>
    </row>
    <row r="1945" spans="1:5" ht="15">
      <c r="A1945" s="151"/>
      <c r="B1945" s="347"/>
      <c r="C1945" s="108"/>
      <c r="D1945" s="108"/>
      <c r="E1945" s="349"/>
    </row>
    <row r="1946" spans="1:5" ht="15">
      <c r="A1946" s="151"/>
      <c r="B1946" s="347"/>
      <c r="C1946" s="108"/>
      <c r="D1946" s="108"/>
      <c r="E1946" s="349"/>
    </row>
    <row r="1947" spans="1:5" ht="15">
      <c r="A1947" s="151"/>
      <c r="B1947" s="347"/>
      <c r="C1947" s="108"/>
      <c r="D1947" s="108"/>
      <c r="E1947" s="349"/>
    </row>
    <row r="1948" spans="1:5" ht="15">
      <c r="A1948" s="151"/>
      <c r="B1948" s="347"/>
      <c r="C1948" s="108"/>
      <c r="D1948" s="108"/>
      <c r="E1948" s="349"/>
    </row>
    <row r="1949" spans="1:5" ht="15">
      <c r="A1949" s="151"/>
      <c r="B1949" s="347"/>
      <c r="C1949" s="108"/>
      <c r="D1949" s="108"/>
      <c r="E1949" s="349"/>
    </row>
    <row r="1950" spans="1:5" ht="15">
      <c r="A1950" s="151"/>
      <c r="B1950" s="347"/>
      <c r="C1950" s="108"/>
      <c r="D1950" s="108"/>
      <c r="E1950" s="349"/>
    </row>
    <row r="1951" spans="1:5" ht="15">
      <c r="A1951" s="151"/>
      <c r="B1951" s="347"/>
      <c r="C1951" s="108"/>
      <c r="D1951" s="108"/>
      <c r="E1951" s="349"/>
    </row>
    <row r="1952" spans="1:5" ht="15">
      <c r="A1952" s="151"/>
      <c r="B1952" s="347"/>
      <c r="C1952" s="108"/>
      <c r="D1952" s="108"/>
      <c r="E1952" s="349"/>
    </row>
    <row r="1953" spans="1:5" ht="15">
      <c r="A1953" s="151"/>
      <c r="B1953" s="347"/>
      <c r="C1953" s="108"/>
      <c r="D1953" s="108"/>
      <c r="E1953" s="349"/>
    </row>
    <row r="1954" spans="1:5" ht="15">
      <c r="A1954" s="151"/>
      <c r="B1954" s="347"/>
      <c r="C1954" s="108"/>
      <c r="D1954" s="108"/>
      <c r="E1954" s="349"/>
    </row>
    <row r="1955" spans="1:5" ht="15">
      <c r="A1955" s="151"/>
      <c r="B1955" s="347"/>
      <c r="C1955" s="108"/>
      <c r="D1955" s="108"/>
      <c r="E1955" s="349"/>
    </row>
    <row r="1956" spans="1:5" ht="15">
      <c r="A1956" s="151"/>
      <c r="B1956" s="347"/>
      <c r="C1956" s="108"/>
      <c r="D1956" s="108"/>
      <c r="E1956" s="349"/>
    </row>
    <row r="1957" spans="1:5" ht="15">
      <c r="A1957" s="151"/>
      <c r="B1957" s="347"/>
      <c r="C1957" s="108"/>
      <c r="D1957" s="108"/>
      <c r="E1957" s="349"/>
    </row>
    <row r="1958" spans="1:5" ht="15">
      <c r="A1958" s="151"/>
      <c r="B1958" s="347"/>
      <c r="C1958" s="108"/>
      <c r="D1958" s="108"/>
      <c r="E1958" s="349"/>
    </row>
    <row r="1959" spans="1:5" ht="15">
      <c r="A1959" s="151"/>
      <c r="B1959" s="347"/>
      <c r="C1959" s="108"/>
      <c r="D1959" s="108"/>
      <c r="E1959" s="349"/>
    </row>
    <row r="1960" spans="1:5" ht="15">
      <c r="A1960" s="151"/>
      <c r="B1960" s="347"/>
      <c r="C1960" s="108"/>
      <c r="D1960" s="108"/>
      <c r="E1960" s="349"/>
    </row>
    <row r="1961" spans="1:5" ht="15">
      <c r="A1961" s="151"/>
      <c r="B1961" s="347"/>
      <c r="C1961" s="108"/>
      <c r="D1961" s="108"/>
      <c r="E1961" s="349"/>
    </row>
    <row r="1962" spans="1:5" ht="15">
      <c r="A1962" s="151"/>
      <c r="B1962" s="347"/>
      <c r="C1962" s="108"/>
      <c r="D1962" s="108"/>
      <c r="E1962" s="349"/>
    </row>
    <row r="1963" spans="1:5" ht="15">
      <c r="A1963" s="151"/>
      <c r="B1963" s="347"/>
      <c r="C1963" s="108"/>
      <c r="D1963" s="108"/>
      <c r="E1963" s="349"/>
    </row>
    <row r="1964" spans="1:5" ht="15">
      <c r="A1964" s="151"/>
      <c r="B1964" s="347"/>
      <c r="C1964" s="108"/>
      <c r="D1964" s="108"/>
      <c r="E1964" s="349"/>
    </row>
    <row r="1965" spans="1:5" ht="15">
      <c r="A1965" s="151"/>
      <c r="B1965" s="347"/>
      <c r="C1965" s="108"/>
      <c r="D1965" s="108"/>
      <c r="E1965" s="349"/>
    </row>
    <row r="1966" spans="1:5" ht="15">
      <c r="A1966" s="151"/>
      <c r="B1966" s="347"/>
      <c r="C1966" s="108"/>
      <c r="D1966" s="108"/>
      <c r="E1966" s="349"/>
    </row>
    <row r="1967" spans="1:5" ht="15">
      <c r="A1967" s="151"/>
      <c r="B1967" s="347"/>
      <c r="C1967" s="108"/>
      <c r="D1967" s="108"/>
      <c r="E1967" s="349"/>
    </row>
    <row r="1968" spans="1:5" ht="15">
      <c r="A1968" s="151"/>
      <c r="B1968" s="347"/>
      <c r="C1968" s="108"/>
      <c r="D1968" s="108"/>
      <c r="E1968" s="349"/>
    </row>
    <row r="1969" spans="1:5" ht="15">
      <c r="A1969" s="151"/>
      <c r="B1969" s="347"/>
      <c r="C1969" s="108"/>
      <c r="D1969" s="108"/>
      <c r="E1969" s="349"/>
    </row>
    <row r="1970" spans="1:5" ht="15">
      <c r="A1970" s="151"/>
      <c r="B1970" s="347"/>
      <c r="C1970" s="108"/>
      <c r="D1970" s="108"/>
      <c r="E1970" s="349"/>
    </row>
    <row r="1971" spans="1:5" ht="15">
      <c r="A1971" s="151"/>
      <c r="B1971" s="347"/>
      <c r="C1971" s="108"/>
      <c r="D1971" s="108"/>
      <c r="E1971" s="349"/>
    </row>
    <row r="1972" spans="1:5" ht="15">
      <c r="A1972" s="151"/>
      <c r="B1972" s="347"/>
      <c r="C1972" s="108"/>
      <c r="D1972" s="108"/>
      <c r="E1972" s="349"/>
    </row>
    <row r="1973" spans="1:5" ht="15">
      <c r="A1973" s="151"/>
      <c r="B1973" s="347"/>
      <c r="C1973" s="108"/>
      <c r="D1973" s="108"/>
      <c r="E1973" s="349"/>
    </row>
    <row r="1974" spans="1:5" ht="15">
      <c r="A1974" s="151"/>
      <c r="B1974" s="347"/>
      <c r="C1974" s="108"/>
      <c r="D1974" s="108"/>
      <c r="E1974" s="349"/>
    </row>
    <row r="1975" spans="1:5" ht="15">
      <c r="A1975" s="151"/>
      <c r="B1975" s="347"/>
      <c r="C1975" s="108"/>
      <c r="D1975" s="108"/>
      <c r="E1975" s="349"/>
    </row>
    <row r="1976" spans="1:5" ht="15">
      <c r="A1976" s="151"/>
      <c r="B1976" s="347"/>
      <c r="C1976" s="108"/>
      <c r="D1976" s="108"/>
      <c r="E1976" s="349"/>
    </row>
    <row r="1977" spans="1:5" ht="15">
      <c r="A1977" s="151"/>
      <c r="B1977" s="347"/>
      <c r="C1977" s="108"/>
      <c r="D1977" s="108"/>
      <c r="E1977" s="349"/>
    </row>
    <row r="1978" spans="1:5" ht="15">
      <c r="A1978" s="151"/>
      <c r="B1978" s="347"/>
      <c r="C1978" s="108"/>
      <c r="D1978" s="108"/>
      <c r="E1978" s="349"/>
    </row>
    <row r="1979" spans="1:5" ht="15">
      <c r="A1979" s="151"/>
      <c r="B1979" s="347"/>
      <c r="C1979" s="108"/>
      <c r="D1979" s="108"/>
      <c r="E1979" s="349"/>
    </row>
    <row r="1980" spans="1:5" ht="15">
      <c r="A1980" s="151"/>
      <c r="B1980" s="347"/>
      <c r="C1980" s="108"/>
      <c r="D1980" s="108"/>
      <c r="E1980" s="349"/>
    </row>
    <row r="1981" spans="1:5" ht="15">
      <c r="A1981" s="151"/>
      <c r="B1981" s="347"/>
      <c r="C1981" s="108"/>
      <c r="D1981" s="108"/>
      <c r="E1981" s="349"/>
    </row>
    <row r="1982" spans="1:5" ht="15">
      <c r="A1982" s="151"/>
      <c r="B1982" s="347"/>
      <c r="C1982" s="108"/>
      <c r="D1982" s="108"/>
      <c r="E1982" s="349"/>
    </row>
    <row r="1983" spans="1:5" ht="15">
      <c r="A1983" s="151"/>
      <c r="B1983" s="347"/>
      <c r="C1983" s="108"/>
      <c r="D1983" s="108"/>
      <c r="E1983" s="349"/>
    </row>
    <row r="1984" spans="1:5" ht="15">
      <c r="A1984" s="151"/>
      <c r="B1984" s="347"/>
      <c r="C1984" s="108"/>
      <c r="D1984" s="108"/>
      <c r="E1984" s="349"/>
    </row>
    <row r="1985" spans="1:5" ht="15">
      <c r="A1985" s="151"/>
      <c r="B1985" s="347"/>
      <c r="C1985" s="108"/>
      <c r="D1985" s="108"/>
      <c r="E1985" s="349"/>
    </row>
    <row r="1986" spans="1:5" ht="15">
      <c r="A1986" s="151"/>
      <c r="B1986" s="347"/>
      <c r="C1986" s="108"/>
      <c r="D1986" s="108"/>
      <c r="E1986" s="349"/>
    </row>
    <row r="1987" spans="1:5" ht="15">
      <c r="A1987" s="151"/>
      <c r="B1987" s="347"/>
      <c r="C1987" s="108"/>
      <c r="D1987" s="108"/>
      <c r="E1987" s="349"/>
    </row>
    <row r="1988" spans="1:5" ht="15">
      <c r="A1988" s="151"/>
      <c r="B1988" s="347"/>
      <c r="C1988" s="108"/>
      <c r="D1988" s="108"/>
      <c r="E1988" s="349"/>
    </row>
    <row r="1989" spans="1:5" ht="15">
      <c r="A1989" s="151"/>
      <c r="B1989" s="347"/>
      <c r="C1989" s="108"/>
      <c r="D1989" s="108"/>
      <c r="E1989" s="349"/>
    </row>
    <row r="1990" spans="1:5" ht="15">
      <c r="A1990" s="151"/>
      <c r="B1990" s="347"/>
      <c r="C1990" s="108"/>
      <c r="D1990" s="108"/>
      <c r="E1990" s="349"/>
    </row>
    <row r="1991" spans="1:5" ht="15">
      <c r="A1991" s="151"/>
      <c r="B1991" s="347"/>
      <c r="C1991" s="108"/>
      <c r="D1991" s="108"/>
      <c r="E1991" s="349"/>
    </row>
    <row r="1992" spans="1:5" ht="15">
      <c r="A1992" s="151"/>
      <c r="B1992" s="347"/>
      <c r="C1992" s="108"/>
      <c r="D1992" s="108"/>
      <c r="E1992" s="349"/>
    </row>
    <row r="1993" spans="1:5" ht="15">
      <c r="A1993" s="151"/>
      <c r="B1993" s="347"/>
      <c r="C1993" s="108"/>
      <c r="D1993" s="108"/>
      <c r="E1993" s="349"/>
    </row>
    <row r="1994" spans="1:5" ht="15">
      <c r="A1994" s="151"/>
      <c r="B1994" s="347"/>
      <c r="C1994" s="108"/>
      <c r="D1994" s="108"/>
      <c r="E1994" s="349"/>
    </row>
    <row r="1995" spans="1:5" ht="15">
      <c r="A1995" s="151"/>
      <c r="B1995" s="347"/>
      <c r="C1995" s="108"/>
      <c r="D1995" s="108"/>
      <c r="E1995" s="349"/>
    </row>
    <row r="1996" spans="1:5" ht="15">
      <c r="A1996" s="151"/>
      <c r="B1996" s="347"/>
      <c r="C1996" s="108"/>
      <c r="D1996" s="108"/>
      <c r="E1996" s="349"/>
    </row>
    <row r="1997" spans="1:5" ht="15">
      <c r="A1997" s="151"/>
      <c r="B1997" s="347"/>
      <c r="C1997" s="108"/>
      <c r="D1997" s="108"/>
      <c r="E1997" s="349"/>
    </row>
    <row r="1998" spans="1:5" ht="15">
      <c r="A1998" s="151"/>
      <c r="B1998" s="347"/>
      <c r="C1998" s="108"/>
      <c r="D1998" s="108"/>
      <c r="E1998" s="349"/>
    </row>
    <row r="1999" spans="1:5" ht="15">
      <c r="A1999" s="151"/>
      <c r="B1999" s="347"/>
      <c r="C1999" s="108"/>
      <c r="D1999" s="108"/>
      <c r="E1999" s="349"/>
    </row>
    <row r="2000" spans="1:5" ht="15">
      <c r="A2000" s="151"/>
      <c r="B2000" s="347"/>
      <c r="C2000" s="108"/>
      <c r="D2000" s="108"/>
      <c r="E2000" s="349"/>
    </row>
    <row r="2001" spans="1:5" ht="15">
      <c r="A2001" s="151"/>
      <c r="B2001" s="347"/>
      <c r="C2001" s="108"/>
      <c r="D2001" s="108"/>
      <c r="E2001" s="349"/>
    </row>
    <row r="2002" spans="1:5" ht="15">
      <c r="A2002" s="151"/>
      <c r="B2002" s="347"/>
      <c r="C2002" s="108"/>
      <c r="D2002" s="108"/>
      <c r="E2002" s="349"/>
    </row>
    <row r="2003" spans="1:5" ht="15">
      <c r="A2003" s="151"/>
      <c r="B2003" s="347"/>
      <c r="C2003" s="108"/>
      <c r="D2003" s="108"/>
      <c r="E2003" s="349"/>
    </row>
    <row r="2004" spans="1:5" ht="15">
      <c r="A2004" s="151"/>
      <c r="B2004" s="347"/>
      <c r="C2004" s="108"/>
      <c r="D2004" s="108"/>
      <c r="E2004" s="349"/>
    </row>
    <row r="2005" spans="1:5" ht="15">
      <c r="A2005" s="151"/>
      <c r="B2005" s="347"/>
      <c r="C2005" s="108"/>
      <c r="D2005" s="108"/>
      <c r="E2005" s="349"/>
    </row>
    <row r="2006" spans="1:5" ht="13.35" customHeight="1" thickBot="1">
      <c r="A2006" s="152"/>
      <c r="B2006" s="460" t="str">
        <f ca="1">OFFSET(L!$C$1,MATCH("General"&amp;"Cpy",L!$A:$A,0)-1,SL,,)</f>
        <v>© 2022 Responsible Minerals Initiative. All rights reserved.</v>
      </c>
      <c r="C2006" s="460"/>
      <c r="D2006" s="460"/>
      <c r="E2006" s="352"/>
    </row>
    <row r="2007" spans="1:5" ht="13.2" thickTop="1">
      <c r="D2007" s="355"/>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99"/>
  <hyperlinks>
    <hyperlink ref="B4:D4" location="Declaration!A1" display="Click here to return to Declaration tab" xr:uid="{00000000-0004-0000-0600-000000000000}"/>
  </hyperlinks>
  <pageMargins left="0.70866141732283472" right="0.70866141732283472" top="0.74803149606299213" bottom="0.74803149606299213" header="0.31496062992125984" footer="0.31496062992125984"/>
  <pageSetup paperSize="9" scale="81" fitToHeight="100" pageOrder="overThenDown" orientation="landscape"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32"/>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90625" defaultRowHeight="12.6"/>
  <cols>
    <col min="1" max="1" width="9.08984375" style="217" bestFit="1" customWidth="1"/>
    <col min="2" max="2" width="42.90625" style="217" customWidth="1"/>
    <col min="3" max="3" width="63.90625" style="217" customWidth="1"/>
    <col min="4" max="4" width="25.6328125" style="217" customWidth="1"/>
    <col min="5" max="5" width="12.6328125" style="217" customWidth="1"/>
    <col min="6" max="6" width="12.6328125" style="218" customWidth="1"/>
    <col min="7" max="7" width="15.36328125" style="217" customWidth="1"/>
    <col min="8" max="8" width="23.90625" style="217" customWidth="1"/>
    <col min="9" max="9" width="28.08984375" style="217" customWidth="1"/>
    <col min="10" max="10" width="48.26953125" style="217" hidden="1" customWidth="1"/>
    <col min="11" max="11" width="49.7265625" style="217" hidden="1" customWidth="1"/>
    <col min="12" max="16384" width="8.90625" style="217"/>
  </cols>
  <sheetData>
    <row r="1" spans="1:16" ht="168.6" customHeight="1">
      <c r="A1" s="461"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61"/>
      <c r="C1" s="461"/>
      <c r="D1" s="461"/>
      <c r="E1" s="461"/>
      <c r="F1" s="461"/>
      <c r="G1" s="461"/>
    </row>
    <row r="2" spans="1:16">
      <c r="A2" s="462"/>
      <c r="B2" s="462"/>
      <c r="C2" s="462"/>
      <c r="D2" s="462"/>
      <c r="E2" s="462"/>
      <c r="F2" s="462"/>
      <c r="G2" s="462"/>
      <c r="H2" s="462"/>
      <c r="I2" s="462"/>
    </row>
    <row r="3" spans="1:16">
      <c r="A3" s="462"/>
      <c r="B3" s="462"/>
      <c r="C3" s="462"/>
      <c r="D3" s="462"/>
      <c r="E3" s="462"/>
      <c r="F3" s="462"/>
      <c r="G3" s="462"/>
      <c r="H3" s="462"/>
      <c r="I3" s="462"/>
    </row>
    <row r="4" spans="1:16" s="220" customFormat="1" ht="50.4">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811</v>
      </c>
      <c r="K4" s="219" t="s">
        <v>811</v>
      </c>
    </row>
    <row r="5" spans="1:16" ht="13.5"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5"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5"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5"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5"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5"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5"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99"/>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baseColWidth="10" defaultColWidth="8.90625" defaultRowHeight="13.8"/>
  <cols>
    <col min="1" max="1" width="14.6328125" style="280" customWidth="1"/>
    <col min="2" max="2" width="14" style="280" customWidth="1"/>
    <col min="3" max="3" width="6.08984375" style="280" customWidth="1"/>
    <col min="4" max="4" width="56.26953125" style="280" customWidth="1"/>
    <col min="5" max="5" width="53.7265625" style="275" customWidth="1"/>
    <col min="6" max="6" width="54.08984375" style="280" customWidth="1"/>
    <col min="7" max="7" width="68.26953125" style="283" customWidth="1"/>
    <col min="8" max="8" width="49.26953125" style="280" customWidth="1"/>
    <col min="9" max="9" width="51.6328125" style="280" customWidth="1"/>
    <col min="10" max="10" width="50.26953125" style="280" customWidth="1"/>
    <col min="11" max="11" width="51.90625" style="244" customWidth="1"/>
    <col min="12" max="12" width="66.90625" style="310" customWidth="1"/>
    <col min="13" max="13" width="46.08984375" style="178" customWidth="1"/>
    <col min="14" max="15" width="8.90625" style="178" customWidth="1"/>
    <col min="16" max="16384" width="8.9062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82.8">
      <c r="A2" s="280" t="str">
        <f>B2&amp;C2</f>
        <v>InstructionsA1</v>
      </c>
      <c r="B2" s="280" t="s">
        <v>532</v>
      </c>
      <c r="C2" s="280" t="s">
        <v>631</v>
      </c>
      <c r="D2" s="280" t="s">
        <v>13233</v>
      </c>
      <c r="E2" s="280" t="s">
        <v>14187</v>
      </c>
      <c r="F2" s="330" t="s">
        <v>14283</v>
      </c>
      <c r="G2" s="283" t="s">
        <v>15265</v>
      </c>
      <c r="H2" s="280" t="s">
        <v>14528</v>
      </c>
      <c r="I2" s="280" t="s">
        <v>14582</v>
      </c>
      <c r="J2" s="280" t="s">
        <v>13545</v>
      </c>
      <c r="K2" s="274" t="s">
        <v>13361</v>
      </c>
      <c r="L2" s="286" t="s">
        <v>14696</v>
      </c>
      <c r="M2" s="280" t="s">
        <v>14747</v>
      </c>
    </row>
    <row r="3" spans="1:13">
      <c r="A3" s="280" t="str">
        <f t="shared" ref="A3" si="0">B3&amp;C3</f>
        <v>InstructionsA2</v>
      </c>
      <c r="B3" s="280" t="s">
        <v>532</v>
      </c>
      <c r="C3" s="280" t="s">
        <v>632</v>
      </c>
      <c r="D3" s="280" t="s">
        <v>854</v>
      </c>
      <c r="E3" s="246" t="s">
        <v>13374</v>
      </c>
      <c r="F3" s="330" t="s">
        <v>14284</v>
      </c>
      <c r="G3" s="283" t="s">
        <v>1041</v>
      </c>
      <c r="H3" s="280" t="s">
        <v>854</v>
      </c>
      <c r="I3" s="280" t="s">
        <v>1042</v>
      </c>
      <c r="J3" s="280" t="s">
        <v>1043</v>
      </c>
      <c r="K3" s="274" t="s">
        <v>398</v>
      </c>
      <c r="L3" s="286" t="s">
        <v>1174</v>
      </c>
      <c r="M3" s="280" t="s">
        <v>14748</v>
      </c>
    </row>
    <row r="4" spans="1:13" ht="345">
      <c r="A4" s="280" t="str">
        <f t="shared" ref="A4:A27" si="1">B4&amp;C4</f>
        <v>InstructionsA3</v>
      </c>
      <c r="B4" s="280" t="s">
        <v>532</v>
      </c>
      <c r="C4" s="280" t="s">
        <v>633</v>
      </c>
      <c r="D4" s="280" t="s">
        <v>13359</v>
      </c>
      <c r="E4" s="312" t="s">
        <v>14188</v>
      </c>
      <c r="F4" s="330" t="s">
        <v>14285</v>
      </c>
      <c r="G4" s="283" t="s">
        <v>14475</v>
      </c>
      <c r="H4" s="280" t="s">
        <v>14529</v>
      </c>
      <c r="I4" s="280" t="s">
        <v>14583</v>
      </c>
      <c r="J4" s="280" t="s">
        <v>15356</v>
      </c>
      <c r="K4" s="274" t="s">
        <v>14639</v>
      </c>
      <c r="L4" s="286" t="s">
        <v>14697</v>
      </c>
      <c r="M4" s="280" t="s">
        <v>14749</v>
      </c>
    </row>
    <row r="5" spans="1:13" ht="365.25" customHeight="1">
      <c r="A5" s="280" t="str">
        <f t="shared" si="1"/>
        <v>InstructionsA4</v>
      </c>
      <c r="B5" s="280" t="s">
        <v>532</v>
      </c>
      <c r="C5" s="280" t="s">
        <v>634</v>
      </c>
      <c r="D5" s="280" t="s">
        <v>14939</v>
      </c>
      <c r="E5" s="280" t="s">
        <v>14189</v>
      </c>
      <c r="F5" s="330" t="s">
        <v>15115</v>
      </c>
      <c r="G5" s="283" t="s">
        <v>15266</v>
      </c>
      <c r="H5" s="280" t="s">
        <v>14530</v>
      </c>
      <c r="I5" s="280" t="s">
        <v>14584</v>
      </c>
      <c r="J5" s="280" t="s">
        <v>14938</v>
      </c>
      <c r="K5" s="280" t="s">
        <v>14640</v>
      </c>
      <c r="L5" s="280" t="s">
        <v>14698</v>
      </c>
      <c r="M5" s="280" t="s">
        <v>14750</v>
      </c>
    </row>
    <row r="6" spans="1:13" ht="41.4">
      <c r="A6" s="280" t="str">
        <f t="shared" si="1"/>
        <v>InstructionsA6</v>
      </c>
      <c r="B6" s="280" t="s">
        <v>532</v>
      </c>
      <c r="C6" s="280" t="s">
        <v>635</v>
      </c>
      <c r="D6" s="280" t="s">
        <v>410</v>
      </c>
      <c r="E6" s="246" t="s">
        <v>14190</v>
      </c>
      <c r="F6" s="330" t="s">
        <v>14286</v>
      </c>
      <c r="G6" s="283" t="s">
        <v>14476</v>
      </c>
      <c r="H6" s="280" t="s">
        <v>317</v>
      </c>
      <c r="I6" s="280" t="s">
        <v>281</v>
      </c>
      <c r="J6" s="280" t="s">
        <v>1329</v>
      </c>
      <c r="K6" s="274" t="s">
        <v>14641</v>
      </c>
      <c r="L6" s="286" t="s">
        <v>14699</v>
      </c>
      <c r="M6" s="280" t="s">
        <v>14751</v>
      </c>
    </row>
    <row r="7" spans="1:13" ht="27.6">
      <c r="A7" s="280" t="str">
        <f t="shared" si="1"/>
        <v>InstructionsA7</v>
      </c>
      <c r="B7" s="280" t="s">
        <v>532</v>
      </c>
      <c r="C7" s="280" t="s">
        <v>636</v>
      </c>
      <c r="D7" s="280" t="s">
        <v>2384</v>
      </c>
      <c r="E7" s="246" t="s">
        <v>13375</v>
      </c>
      <c r="F7" s="330"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30" t="s">
        <v>14288</v>
      </c>
      <c r="G8" s="283" t="s">
        <v>2483</v>
      </c>
      <c r="H8" s="280" t="s">
        <v>2486</v>
      </c>
      <c r="I8" s="280" t="s">
        <v>2487</v>
      </c>
      <c r="J8" s="280" t="s">
        <v>2492</v>
      </c>
      <c r="K8" s="274" t="s">
        <v>2493</v>
      </c>
      <c r="L8" s="286" t="s">
        <v>2498</v>
      </c>
      <c r="M8" s="280" t="s">
        <v>2499</v>
      </c>
    </row>
    <row r="9" spans="1:13" ht="409.6">
      <c r="A9" s="280" t="str">
        <f t="shared" si="1"/>
        <v>InstructionsA9</v>
      </c>
      <c r="B9" s="280" t="s">
        <v>532</v>
      </c>
      <c r="C9" s="280" t="s">
        <v>1177</v>
      </c>
      <c r="D9" s="280" t="s">
        <v>13576</v>
      </c>
      <c r="E9" s="311" t="s">
        <v>14192</v>
      </c>
      <c r="F9" s="331" t="s">
        <v>14289</v>
      </c>
      <c r="G9" s="334" t="s">
        <v>15267</v>
      </c>
      <c r="H9" s="282" t="s">
        <v>14531</v>
      </c>
      <c r="I9" s="282" t="s">
        <v>14585</v>
      </c>
      <c r="J9" s="282" t="s">
        <v>1440</v>
      </c>
      <c r="K9" s="276" t="s">
        <v>14642</v>
      </c>
      <c r="L9" s="287" t="s">
        <v>14700</v>
      </c>
      <c r="M9" s="280" t="s">
        <v>14753</v>
      </c>
    </row>
    <row r="10" spans="1:13" ht="41.4">
      <c r="A10" s="280" t="str">
        <f t="shared" si="1"/>
        <v>InstructionsA10</v>
      </c>
      <c r="B10" s="280" t="s">
        <v>532</v>
      </c>
      <c r="C10" s="280" t="s">
        <v>1178</v>
      </c>
      <c r="D10" s="280" t="s">
        <v>418</v>
      </c>
      <c r="E10" s="246" t="s">
        <v>13376</v>
      </c>
      <c r="F10" s="330" t="s">
        <v>14290</v>
      </c>
      <c r="G10" s="283" t="s">
        <v>824</v>
      </c>
      <c r="H10" s="280" t="s">
        <v>318</v>
      </c>
      <c r="I10" s="280" t="s">
        <v>283</v>
      </c>
      <c r="J10" s="280" t="s">
        <v>1330</v>
      </c>
      <c r="K10" s="241" t="s">
        <v>400</v>
      </c>
      <c r="L10" s="286" t="s">
        <v>1250</v>
      </c>
      <c r="M10" s="280" t="s">
        <v>14754</v>
      </c>
    </row>
    <row r="11" spans="1:13" ht="41.4">
      <c r="A11" s="280" t="str">
        <f t="shared" si="1"/>
        <v>InstructionsA11</v>
      </c>
      <c r="B11" s="280" t="s">
        <v>532</v>
      </c>
      <c r="C11" s="280" t="s">
        <v>1179</v>
      </c>
      <c r="D11" s="280" t="s">
        <v>419</v>
      </c>
      <c r="E11" s="246" t="s">
        <v>13377</v>
      </c>
      <c r="F11" s="330" t="s">
        <v>14291</v>
      </c>
      <c r="G11" s="283" t="s">
        <v>351</v>
      </c>
      <c r="H11" s="280" t="s">
        <v>425</v>
      </c>
      <c r="I11" s="280" t="s">
        <v>284</v>
      </c>
      <c r="J11" s="280" t="s">
        <v>1331</v>
      </c>
      <c r="K11" s="241" t="s">
        <v>401</v>
      </c>
      <c r="L11" s="286" t="s">
        <v>6</v>
      </c>
      <c r="M11" s="280" t="s">
        <v>14755</v>
      </c>
    </row>
    <row r="12" spans="1:13" ht="41.4">
      <c r="A12" s="280" t="str">
        <f t="shared" si="1"/>
        <v>InstructionsA12</v>
      </c>
      <c r="B12" s="280" t="s">
        <v>532</v>
      </c>
      <c r="C12" s="280" t="s">
        <v>1180</v>
      </c>
      <c r="D12" s="280" t="s">
        <v>420</v>
      </c>
      <c r="E12" s="246" t="s">
        <v>13378</v>
      </c>
      <c r="F12" s="330" t="s">
        <v>14292</v>
      </c>
      <c r="G12" s="283" t="s">
        <v>352</v>
      </c>
      <c r="H12" s="280" t="s">
        <v>426</v>
      </c>
      <c r="I12" s="280" t="s">
        <v>285</v>
      </c>
      <c r="J12" s="280" t="s">
        <v>1332</v>
      </c>
      <c r="K12" s="241" t="s">
        <v>123</v>
      </c>
      <c r="L12" s="286" t="s">
        <v>7</v>
      </c>
      <c r="M12" s="280" t="s">
        <v>14756</v>
      </c>
    </row>
    <row r="13" spans="1:13" ht="41.4">
      <c r="A13" s="280" t="str">
        <f t="shared" si="1"/>
        <v>InstructionsA13</v>
      </c>
      <c r="B13" s="280" t="s">
        <v>532</v>
      </c>
      <c r="C13" s="280" t="s">
        <v>1181</v>
      </c>
      <c r="D13" s="280" t="s">
        <v>411</v>
      </c>
      <c r="E13" s="246" t="s">
        <v>13379</v>
      </c>
      <c r="F13" s="330" t="s">
        <v>14293</v>
      </c>
      <c r="G13" s="283" t="s">
        <v>353</v>
      </c>
      <c r="H13" s="280" t="s">
        <v>427</v>
      </c>
      <c r="I13" s="280" t="s">
        <v>286</v>
      </c>
      <c r="J13" s="280" t="s">
        <v>1333</v>
      </c>
      <c r="K13" s="241" t="s">
        <v>122</v>
      </c>
      <c r="L13" s="286" t="s">
        <v>8</v>
      </c>
      <c r="M13" s="280" t="s">
        <v>14757</v>
      </c>
    </row>
    <row r="14" spans="1:13" ht="69">
      <c r="A14" s="280" t="str">
        <f t="shared" si="1"/>
        <v>InstructionsA14</v>
      </c>
      <c r="B14" s="280" t="s">
        <v>532</v>
      </c>
      <c r="C14" s="280" t="s">
        <v>1182</v>
      </c>
      <c r="D14" s="280" t="s">
        <v>412</v>
      </c>
      <c r="E14" s="246" t="s">
        <v>13380</v>
      </c>
      <c r="F14" s="330" t="s">
        <v>14294</v>
      </c>
      <c r="G14" s="283" t="s">
        <v>354</v>
      </c>
      <c r="H14" s="280" t="s">
        <v>428</v>
      </c>
      <c r="I14" s="280" t="s">
        <v>287</v>
      </c>
      <c r="J14" s="280" t="s">
        <v>1362</v>
      </c>
      <c r="K14" s="241" t="s">
        <v>121</v>
      </c>
      <c r="L14" s="286" t="s">
        <v>9</v>
      </c>
      <c r="M14" s="280" t="s">
        <v>14758</v>
      </c>
    </row>
    <row r="15" spans="1:13" ht="27.6">
      <c r="A15" s="280" t="str">
        <f t="shared" si="1"/>
        <v>InstructionsA15</v>
      </c>
      <c r="B15" s="280" t="s">
        <v>532</v>
      </c>
      <c r="C15" s="280" t="s">
        <v>414</v>
      </c>
      <c r="D15" s="280" t="s">
        <v>413</v>
      </c>
      <c r="E15" s="246" t="s">
        <v>13381</v>
      </c>
      <c r="F15" s="330" t="s">
        <v>14295</v>
      </c>
      <c r="G15" s="283" t="s">
        <v>355</v>
      </c>
      <c r="H15" s="280" t="s">
        <v>429</v>
      </c>
      <c r="I15" s="280" t="s">
        <v>288</v>
      </c>
      <c r="J15" s="280" t="s">
        <v>1334</v>
      </c>
      <c r="K15" s="241" t="s">
        <v>120</v>
      </c>
      <c r="L15" s="286" t="s">
        <v>10</v>
      </c>
      <c r="M15" s="280" t="s">
        <v>14759</v>
      </c>
    </row>
    <row r="16" spans="1:13" ht="82.8">
      <c r="A16" s="280" t="str">
        <f t="shared" si="1"/>
        <v>InstructionsA16</v>
      </c>
      <c r="B16" s="280" t="s">
        <v>532</v>
      </c>
      <c r="C16" s="280" t="s">
        <v>1183</v>
      </c>
      <c r="D16" s="280" t="s">
        <v>13228</v>
      </c>
      <c r="E16" s="246" t="s">
        <v>14068</v>
      </c>
      <c r="F16" s="330" t="s">
        <v>14296</v>
      </c>
      <c r="G16" s="283" t="s">
        <v>15268</v>
      </c>
      <c r="H16" s="280" t="s">
        <v>430</v>
      </c>
      <c r="I16" s="280" t="s">
        <v>289</v>
      </c>
      <c r="J16" s="280" t="s">
        <v>1335</v>
      </c>
      <c r="K16" s="274" t="s">
        <v>402</v>
      </c>
      <c r="L16" s="286" t="s">
        <v>11</v>
      </c>
      <c r="M16" s="280" t="s">
        <v>14760</v>
      </c>
    </row>
    <row r="17" spans="1:13" ht="27.6">
      <c r="A17" s="280" t="str">
        <f t="shared" si="1"/>
        <v>InstructionsA17</v>
      </c>
      <c r="B17" s="280" t="s">
        <v>532</v>
      </c>
      <c r="C17" s="280" t="s">
        <v>1184</v>
      </c>
      <c r="D17" s="280" t="s">
        <v>415</v>
      </c>
      <c r="E17" s="246" t="s">
        <v>13382</v>
      </c>
      <c r="F17" s="330" t="s">
        <v>14297</v>
      </c>
      <c r="G17" s="283" t="s">
        <v>15269</v>
      </c>
      <c r="H17" s="280" t="s">
        <v>431</v>
      </c>
      <c r="I17" s="280" t="s">
        <v>290</v>
      </c>
      <c r="J17" s="280" t="s">
        <v>1336</v>
      </c>
      <c r="K17" s="274" t="s">
        <v>403</v>
      </c>
      <c r="L17" s="286" t="s">
        <v>12</v>
      </c>
      <c r="M17" s="280" t="s">
        <v>14761</v>
      </c>
    </row>
    <row r="18" spans="1:13" ht="69">
      <c r="A18" s="280" t="str">
        <f t="shared" si="1"/>
        <v>InstructionsA18</v>
      </c>
      <c r="B18" s="280" t="s">
        <v>532</v>
      </c>
      <c r="C18" s="280" t="s">
        <v>1185</v>
      </c>
      <c r="D18" s="280" t="s">
        <v>2203</v>
      </c>
      <c r="E18" s="246" t="s">
        <v>13383</v>
      </c>
      <c r="F18" s="330" t="s">
        <v>14298</v>
      </c>
      <c r="G18" s="283" t="s">
        <v>15270</v>
      </c>
      <c r="H18" s="280" t="s">
        <v>2204</v>
      </c>
      <c r="I18" s="280" t="s">
        <v>2205</v>
      </c>
      <c r="J18" s="280" t="s">
        <v>2206</v>
      </c>
      <c r="K18" s="274" t="s">
        <v>2207</v>
      </c>
      <c r="L18" s="286" t="s">
        <v>2208</v>
      </c>
      <c r="M18" s="280" t="s">
        <v>14762</v>
      </c>
    </row>
    <row r="19" spans="1:13" ht="75.75" customHeight="1">
      <c r="A19" s="280" t="str">
        <f t="shared" si="1"/>
        <v>InstructionsA19</v>
      </c>
      <c r="B19" s="280" t="s">
        <v>532</v>
      </c>
      <c r="C19" s="280" t="s">
        <v>1186</v>
      </c>
      <c r="D19" s="280" t="s">
        <v>14941</v>
      </c>
      <c r="E19" s="280" t="s">
        <v>14193</v>
      </c>
      <c r="F19" s="330" t="s">
        <v>14299</v>
      </c>
      <c r="G19" s="283" t="s">
        <v>15266</v>
      </c>
      <c r="H19" s="280" t="s">
        <v>14532</v>
      </c>
      <c r="I19" s="280" t="s">
        <v>14584</v>
      </c>
      <c r="J19" s="280" t="s">
        <v>14940</v>
      </c>
      <c r="K19" s="280" t="s">
        <v>14643</v>
      </c>
      <c r="L19" s="280" t="s">
        <v>14701</v>
      </c>
      <c r="M19" s="280" t="s">
        <v>14763</v>
      </c>
    </row>
    <row r="20" spans="1:13" ht="41.4">
      <c r="A20" s="280" t="str">
        <f t="shared" si="1"/>
        <v>InstructionsA20</v>
      </c>
      <c r="B20" s="280" t="s">
        <v>532</v>
      </c>
      <c r="C20" s="280" t="s">
        <v>1187</v>
      </c>
      <c r="D20" s="280" t="s">
        <v>421</v>
      </c>
      <c r="E20" s="246" t="s">
        <v>13384</v>
      </c>
      <c r="F20" s="330" t="s">
        <v>14300</v>
      </c>
      <c r="G20" s="283" t="s">
        <v>356</v>
      </c>
      <c r="H20" s="280" t="s">
        <v>432</v>
      </c>
      <c r="I20" s="280" t="s">
        <v>291</v>
      </c>
      <c r="J20" s="280" t="s">
        <v>1337</v>
      </c>
      <c r="K20" s="274" t="s">
        <v>404</v>
      </c>
      <c r="L20" s="286" t="s">
        <v>13</v>
      </c>
      <c r="M20" s="280" t="s">
        <v>14764</v>
      </c>
    </row>
    <row r="21" spans="1:13" ht="41.4">
      <c r="A21" s="280" t="str">
        <f t="shared" si="1"/>
        <v>InstructionsA21</v>
      </c>
      <c r="B21" s="280" t="s">
        <v>532</v>
      </c>
      <c r="C21" s="280" t="s">
        <v>1188</v>
      </c>
      <c r="D21" s="280" t="s">
        <v>422</v>
      </c>
      <c r="E21" s="246" t="s">
        <v>13385</v>
      </c>
      <c r="F21" s="330" t="s">
        <v>14301</v>
      </c>
      <c r="G21" s="283" t="s">
        <v>357</v>
      </c>
      <c r="H21" s="280" t="s">
        <v>433</v>
      </c>
      <c r="I21" s="280" t="s">
        <v>292</v>
      </c>
      <c r="J21" s="280" t="s">
        <v>1338</v>
      </c>
      <c r="K21" s="274" t="s">
        <v>405</v>
      </c>
      <c r="L21" s="286" t="s">
        <v>14</v>
      </c>
      <c r="M21" s="280" t="s">
        <v>14765</v>
      </c>
    </row>
    <row r="22" spans="1:13" ht="54.75" customHeight="1">
      <c r="A22" s="280" t="str">
        <f t="shared" si="1"/>
        <v>InstructionsA23</v>
      </c>
      <c r="B22" s="280" t="s">
        <v>532</v>
      </c>
      <c r="C22" s="280" t="s">
        <v>1189</v>
      </c>
      <c r="D22" s="280" t="s">
        <v>14943</v>
      </c>
      <c r="E22" s="280" t="s">
        <v>14194</v>
      </c>
      <c r="F22" s="330" t="s">
        <v>15116</v>
      </c>
      <c r="G22" s="283" t="s">
        <v>14477</v>
      </c>
      <c r="H22" s="280" t="s">
        <v>14532</v>
      </c>
      <c r="I22" s="280" t="s">
        <v>14586</v>
      </c>
      <c r="J22" s="280" t="s">
        <v>14942</v>
      </c>
      <c r="K22" s="280" t="s">
        <v>14644</v>
      </c>
      <c r="L22" s="280" t="s">
        <v>14702</v>
      </c>
      <c r="M22" s="280" t="s">
        <v>14766</v>
      </c>
    </row>
    <row r="23" spans="1:13" ht="151.19999999999999">
      <c r="A23" s="280" t="str">
        <f t="shared" si="1"/>
        <v>InstructionsA24</v>
      </c>
      <c r="B23" s="280" t="s">
        <v>532</v>
      </c>
      <c r="C23" s="280" t="s">
        <v>1190</v>
      </c>
      <c r="D23" s="282" t="s">
        <v>14967</v>
      </c>
      <c r="E23" s="282" t="s">
        <v>14195</v>
      </c>
      <c r="F23" s="331" t="s">
        <v>14302</v>
      </c>
      <c r="G23" s="334" t="s">
        <v>15271</v>
      </c>
      <c r="H23" s="282" t="s">
        <v>14533</v>
      </c>
      <c r="I23" s="282" t="s">
        <v>14587</v>
      </c>
      <c r="J23" s="282" t="s">
        <v>14966</v>
      </c>
      <c r="K23" s="282" t="s">
        <v>14645</v>
      </c>
      <c r="L23" s="282" t="s">
        <v>14703</v>
      </c>
      <c r="M23" s="282" t="s">
        <v>14767</v>
      </c>
    </row>
    <row r="24" spans="1:13" ht="113.4">
      <c r="A24" s="280" t="str">
        <f t="shared" si="1"/>
        <v>InstructionsA25</v>
      </c>
      <c r="B24" s="280" t="s">
        <v>532</v>
      </c>
      <c r="C24" s="280" t="s">
        <v>1191</v>
      </c>
      <c r="D24" s="282" t="s">
        <v>14968</v>
      </c>
      <c r="E24" s="282" t="s">
        <v>14196</v>
      </c>
      <c r="F24" s="331" t="s">
        <v>15117</v>
      </c>
      <c r="G24" s="334" t="s">
        <v>14478</v>
      </c>
      <c r="H24" s="282" t="s">
        <v>14534</v>
      </c>
      <c r="I24" s="282" t="s">
        <v>14588</v>
      </c>
      <c r="J24" s="282" t="s">
        <v>15357</v>
      </c>
      <c r="K24" s="282" t="s">
        <v>14646</v>
      </c>
      <c r="L24" s="282" t="s">
        <v>14704</v>
      </c>
      <c r="M24" s="282" t="s">
        <v>14768</v>
      </c>
    </row>
    <row r="25" spans="1:13" ht="409.6">
      <c r="A25" s="280" t="str">
        <f t="shared" si="1"/>
        <v>InstructionsA26</v>
      </c>
      <c r="B25" s="280" t="s">
        <v>532</v>
      </c>
      <c r="C25" s="280" t="s">
        <v>1192</v>
      </c>
      <c r="D25" s="282" t="s">
        <v>12484</v>
      </c>
      <c r="E25" s="313" t="s">
        <v>14197</v>
      </c>
      <c r="F25" s="334" t="s">
        <v>15354</v>
      </c>
      <c r="G25" s="335" t="s">
        <v>14479</v>
      </c>
      <c r="H25" s="288" t="s">
        <v>14535</v>
      </c>
      <c r="I25" s="288" t="s">
        <v>14589</v>
      </c>
      <c r="J25" s="328" t="s">
        <v>15258</v>
      </c>
      <c r="K25" s="289" t="s">
        <v>14647</v>
      </c>
      <c r="L25" s="290" t="s">
        <v>15259</v>
      </c>
      <c r="M25" s="277" t="s">
        <v>14769</v>
      </c>
    </row>
    <row r="26" spans="1:13" ht="41.4">
      <c r="A26" s="280" t="str">
        <f t="shared" si="1"/>
        <v>InstructionsA27</v>
      </c>
      <c r="B26" s="280" t="s">
        <v>532</v>
      </c>
      <c r="C26" s="280" t="s">
        <v>416</v>
      </c>
      <c r="D26" s="280" t="s">
        <v>417</v>
      </c>
      <c r="E26" s="312" t="s">
        <v>13386</v>
      </c>
      <c r="F26" s="330" t="s">
        <v>14303</v>
      </c>
      <c r="G26" s="283" t="s">
        <v>13372</v>
      </c>
      <c r="H26" s="280" t="s">
        <v>434</v>
      </c>
      <c r="I26" s="280" t="s">
        <v>293</v>
      </c>
      <c r="J26" s="280" t="s">
        <v>1339</v>
      </c>
      <c r="K26" s="274" t="s">
        <v>406</v>
      </c>
      <c r="L26" s="286" t="s">
        <v>15</v>
      </c>
      <c r="M26" s="280" t="s">
        <v>14770</v>
      </c>
    </row>
    <row r="27" spans="1:13" ht="360">
      <c r="A27" s="280" t="str">
        <f t="shared" si="1"/>
        <v>InstructionsA28</v>
      </c>
      <c r="B27" s="280" t="s">
        <v>532</v>
      </c>
      <c r="C27" s="280" t="s">
        <v>993</v>
      </c>
      <c r="D27" s="282" t="s">
        <v>12497</v>
      </c>
      <c r="E27" s="313" t="s">
        <v>14198</v>
      </c>
      <c r="F27" s="325" t="s">
        <v>14304</v>
      </c>
      <c r="G27" s="336" t="s">
        <v>14480</v>
      </c>
      <c r="H27" s="288" t="s">
        <v>14536</v>
      </c>
      <c r="I27" s="288" t="s">
        <v>14590</v>
      </c>
      <c r="J27" s="288" t="s">
        <v>14944</v>
      </c>
      <c r="K27" s="289" t="s">
        <v>14648</v>
      </c>
      <c r="L27" s="290" t="s">
        <v>14705</v>
      </c>
      <c r="M27" s="277" t="s">
        <v>14771</v>
      </c>
    </row>
    <row r="28" spans="1:13" ht="348" customHeight="1">
      <c r="A28" s="280" t="str">
        <f t="shared" ref="A28" si="2">B28&amp;C28</f>
        <v>InstructionsA29</v>
      </c>
      <c r="B28" s="280" t="s">
        <v>532</v>
      </c>
      <c r="C28" s="280" t="s">
        <v>1193</v>
      </c>
      <c r="D28" s="282" t="s">
        <v>14970</v>
      </c>
      <c r="E28" s="282" t="s">
        <v>15625</v>
      </c>
      <c r="F28" s="331" t="s">
        <v>15626</v>
      </c>
      <c r="G28" s="334"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1" t="s">
        <v>15634</v>
      </c>
      <c r="G29" s="334" t="s">
        <v>15635</v>
      </c>
      <c r="H29" s="282" t="s">
        <v>15642</v>
      </c>
      <c r="I29" s="282" t="s">
        <v>15636</v>
      </c>
      <c r="J29" s="282" t="s">
        <v>15637</v>
      </c>
      <c r="K29" s="282" t="s">
        <v>15638</v>
      </c>
      <c r="L29" s="282" t="s">
        <v>15639</v>
      </c>
      <c r="M29" s="282" t="s">
        <v>15640</v>
      </c>
    </row>
    <row r="30" spans="1:13" ht="214.2">
      <c r="A30" s="280" t="str">
        <f t="shared" si="3"/>
        <v>InstructionsA31</v>
      </c>
      <c r="B30" s="280" t="s">
        <v>532</v>
      </c>
      <c r="C30" s="280" t="s">
        <v>1195</v>
      </c>
      <c r="D30" s="282" t="s">
        <v>14073</v>
      </c>
      <c r="E30" s="311" t="s">
        <v>14199</v>
      </c>
      <c r="F30" s="331" t="s">
        <v>15641</v>
      </c>
      <c r="G30" s="334" t="s">
        <v>15272</v>
      </c>
      <c r="H30" s="282" t="s">
        <v>14537</v>
      </c>
      <c r="I30" s="282" t="s">
        <v>14591</v>
      </c>
      <c r="J30" s="282" t="s">
        <v>14074</v>
      </c>
      <c r="K30" s="276" t="s">
        <v>14649</v>
      </c>
      <c r="L30" s="291" t="s">
        <v>14706</v>
      </c>
      <c r="M30" s="282" t="s">
        <v>14772</v>
      </c>
    </row>
    <row r="31" spans="1:13" ht="243.6">
      <c r="A31" s="280" t="str">
        <f t="shared" si="3"/>
        <v>InstructionsA32</v>
      </c>
      <c r="B31" s="280" t="s">
        <v>532</v>
      </c>
      <c r="C31" s="280" t="s">
        <v>1196</v>
      </c>
      <c r="D31" s="282" t="s">
        <v>14075</v>
      </c>
      <c r="E31" s="313" t="s">
        <v>14200</v>
      </c>
      <c r="F31" s="329" t="s">
        <v>14305</v>
      </c>
      <c r="G31" s="337" t="s">
        <v>15273</v>
      </c>
      <c r="H31" s="288" t="s">
        <v>14538</v>
      </c>
      <c r="I31" s="277" t="s">
        <v>14592</v>
      </c>
      <c r="J31" s="277" t="s">
        <v>14076</v>
      </c>
      <c r="K31" s="289" t="s">
        <v>14650</v>
      </c>
      <c r="L31" s="290" t="s">
        <v>14707</v>
      </c>
      <c r="M31" s="277" t="s">
        <v>14773</v>
      </c>
    </row>
    <row r="32" spans="1:13" ht="115.2">
      <c r="A32" s="280" t="str">
        <f t="shared" si="3"/>
        <v>InstructionsA33</v>
      </c>
      <c r="B32" s="280" t="s">
        <v>532</v>
      </c>
      <c r="C32" s="280" t="s">
        <v>1197</v>
      </c>
      <c r="D32" s="282" t="s">
        <v>14077</v>
      </c>
      <c r="E32" s="247" t="s">
        <v>14201</v>
      </c>
      <c r="F32" s="329" t="s">
        <v>14306</v>
      </c>
      <c r="G32" s="337" t="s">
        <v>15274</v>
      </c>
      <c r="H32" s="288" t="s">
        <v>14078</v>
      </c>
      <c r="I32" s="277" t="s">
        <v>14079</v>
      </c>
      <c r="J32" s="277" t="s">
        <v>14080</v>
      </c>
      <c r="K32" s="289" t="s">
        <v>14081</v>
      </c>
      <c r="L32" s="290" t="s">
        <v>14708</v>
      </c>
      <c r="M32" s="277" t="s">
        <v>14082</v>
      </c>
    </row>
    <row r="33" spans="1:13" ht="115.2">
      <c r="A33" s="280" t="str">
        <f t="shared" si="3"/>
        <v>InstructionsA34</v>
      </c>
      <c r="B33" s="280" t="s">
        <v>532</v>
      </c>
      <c r="C33" s="280" t="s">
        <v>1198</v>
      </c>
      <c r="D33" s="282" t="s">
        <v>14083</v>
      </c>
      <c r="E33" s="313" t="s">
        <v>14084</v>
      </c>
      <c r="F33" s="329" t="s">
        <v>14307</v>
      </c>
      <c r="G33" s="337" t="s">
        <v>15275</v>
      </c>
      <c r="H33" s="288" t="s">
        <v>14085</v>
      </c>
      <c r="I33" s="277" t="s">
        <v>15263</v>
      </c>
      <c r="J33" s="277" t="s">
        <v>14086</v>
      </c>
      <c r="K33" s="289" t="s">
        <v>15649</v>
      </c>
      <c r="L33" s="290" t="s">
        <v>14087</v>
      </c>
      <c r="M33" s="277" t="s">
        <v>14088</v>
      </c>
    </row>
    <row r="34" spans="1:13" ht="41.4">
      <c r="A34" s="280" t="str">
        <f t="shared" si="3"/>
        <v>InstructionsA35</v>
      </c>
      <c r="B34" s="280" t="s">
        <v>532</v>
      </c>
      <c r="C34" s="280" t="s">
        <v>14069</v>
      </c>
      <c r="D34" s="280" t="s">
        <v>1029</v>
      </c>
      <c r="E34" s="246" t="s">
        <v>13387</v>
      </c>
      <c r="F34" s="330" t="s">
        <v>14308</v>
      </c>
      <c r="G34" s="283" t="s">
        <v>943</v>
      </c>
      <c r="H34" s="280" t="s">
        <v>944</v>
      </c>
      <c r="I34" s="280" t="s">
        <v>294</v>
      </c>
      <c r="J34" s="280" t="s">
        <v>1045</v>
      </c>
      <c r="K34" s="242" t="s">
        <v>407</v>
      </c>
      <c r="L34" s="286" t="s">
        <v>1251</v>
      </c>
      <c r="M34" s="280" t="s">
        <v>14774</v>
      </c>
    </row>
    <row r="35" spans="1:13" ht="57.6">
      <c r="A35" s="280" t="str">
        <f t="shared" si="3"/>
        <v>InstructionsA37</v>
      </c>
      <c r="B35" s="280" t="s">
        <v>532</v>
      </c>
      <c r="C35" s="280" t="s">
        <v>1199</v>
      </c>
      <c r="D35" s="280" t="s">
        <v>14071</v>
      </c>
      <c r="E35" s="247" t="s">
        <v>14202</v>
      </c>
      <c r="F35" s="329" t="s">
        <v>14309</v>
      </c>
      <c r="G35" s="338" t="s">
        <v>14481</v>
      </c>
      <c r="H35" s="277" t="s">
        <v>14539</v>
      </c>
      <c r="I35" s="277" t="s">
        <v>14593</v>
      </c>
      <c r="J35" s="277" t="s">
        <v>14072</v>
      </c>
      <c r="K35" s="289" t="s">
        <v>14651</v>
      </c>
      <c r="L35" s="290" t="s">
        <v>14709</v>
      </c>
      <c r="M35" s="277" t="s">
        <v>14775</v>
      </c>
    </row>
    <row r="36" spans="1:13" ht="33.75" customHeight="1">
      <c r="A36" s="280" t="str">
        <f t="shared" si="3"/>
        <v>InstructionsA38</v>
      </c>
      <c r="B36" s="280" t="s">
        <v>532</v>
      </c>
      <c r="C36" s="280" t="s">
        <v>1200</v>
      </c>
      <c r="D36" s="280" t="s">
        <v>14089</v>
      </c>
      <c r="E36" s="246" t="s">
        <v>14090</v>
      </c>
      <c r="F36" s="330" t="s">
        <v>15118</v>
      </c>
      <c r="G36" s="283" t="s">
        <v>14482</v>
      </c>
      <c r="H36" s="280" t="s">
        <v>14091</v>
      </c>
      <c r="I36" s="280" t="s">
        <v>14092</v>
      </c>
      <c r="J36" s="280" t="s">
        <v>15358</v>
      </c>
      <c r="K36" s="274" t="s">
        <v>14093</v>
      </c>
      <c r="L36" s="286" t="s">
        <v>14710</v>
      </c>
      <c r="M36" s="280" t="s">
        <v>14094</v>
      </c>
    </row>
    <row r="37" spans="1:13" ht="96.6">
      <c r="A37" s="280" t="str">
        <f t="shared" si="3"/>
        <v>InstructionsA39</v>
      </c>
      <c r="B37" s="280" t="s">
        <v>532</v>
      </c>
      <c r="C37" s="280" t="s">
        <v>1201</v>
      </c>
      <c r="D37" s="280" t="s">
        <v>14946</v>
      </c>
      <c r="E37" s="280" t="s">
        <v>14203</v>
      </c>
      <c r="F37" s="330" t="s">
        <v>14310</v>
      </c>
      <c r="G37" s="283" t="s">
        <v>15276</v>
      </c>
      <c r="H37" s="280" t="s">
        <v>14540</v>
      </c>
      <c r="I37" s="280" t="s">
        <v>14594</v>
      </c>
      <c r="J37" s="280" t="s">
        <v>14945</v>
      </c>
      <c r="K37" s="280" t="s">
        <v>14652</v>
      </c>
      <c r="L37" s="280" t="s">
        <v>14711</v>
      </c>
      <c r="M37" s="280" t="s">
        <v>14776</v>
      </c>
    </row>
    <row r="38" spans="1:13" ht="110.4">
      <c r="A38" s="280" t="str">
        <f t="shared" si="3"/>
        <v>InstructionsA40</v>
      </c>
      <c r="B38" s="280" t="s">
        <v>532</v>
      </c>
      <c r="C38" s="280" t="s">
        <v>423</v>
      </c>
      <c r="D38" s="280" t="s">
        <v>14948</v>
      </c>
      <c r="E38" s="280" t="s">
        <v>14204</v>
      </c>
      <c r="F38" s="330" t="s">
        <v>14311</v>
      </c>
      <c r="G38" s="283" t="s">
        <v>15277</v>
      </c>
      <c r="H38" s="280" t="s">
        <v>14541</v>
      </c>
      <c r="I38" s="280" t="s">
        <v>14594</v>
      </c>
      <c r="J38" s="280" t="s">
        <v>14947</v>
      </c>
      <c r="K38" s="280" t="s">
        <v>14653</v>
      </c>
      <c r="L38" s="280" t="s">
        <v>14712</v>
      </c>
      <c r="M38" s="280" t="s">
        <v>14776</v>
      </c>
    </row>
    <row r="39" spans="1:13" ht="100.8">
      <c r="A39" s="280" t="str">
        <f t="shared" si="3"/>
        <v>InstructionsA41</v>
      </c>
      <c r="B39" s="280" t="s">
        <v>532</v>
      </c>
      <c r="C39" s="280" t="s">
        <v>994</v>
      </c>
      <c r="D39" s="282" t="s">
        <v>14115</v>
      </c>
      <c r="E39" s="247" t="s">
        <v>14205</v>
      </c>
      <c r="F39" s="325" t="s">
        <v>14312</v>
      </c>
      <c r="G39" s="335" t="s">
        <v>15278</v>
      </c>
      <c r="H39" s="277" t="s">
        <v>14542</v>
      </c>
      <c r="I39" s="277" t="s">
        <v>14595</v>
      </c>
      <c r="J39" s="277" t="s">
        <v>15359</v>
      </c>
      <c r="K39" s="289" t="s">
        <v>14654</v>
      </c>
      <c r="L39" s="290" t="s">
        <v>14713</v>
      </c>
      <c r="M39" s="277" t="s">
        <v>14777</v>
      </c>
    </row>
    <row r="40" spans="1:13" ht="358.8">
      <c r="A40" s="280" t="str">
        <f t="shared" si="3"/>
        <v>InstructionsA42</v>
      </c>
      <c r="B40" s="280" t="s">
        <v>532</v>
      </c>
      <c r="C40" s="280" t="s">
        <v>1202</v>
      </c>
      <c r="D40" s="280" t="s">
        <v>15092</v>
      </c>
      <c r="E40" s="280" t="s">
        <v>14206</v>
      </c>
      <c r="F40" s="330" t="s">
        <v>15091</v>
      </c>
      <c r="G40" s="283" t="s">
        <v>15279</v>
      </c>
      <c r="H40" s="280" t="s">
        <v>15093</v>
      </c>
      <c r="I40" s="280" t="s">
        <v>15097</v>
      </c>
      <c r="J40" s="280" t="s">
        <v>15360</v>
      </c>
      <c r="K40" s="280" t="s">
        <v>15094</v>
      </c>
      <c r="L40" s="280" t="s">
        <v>15096</v>
      </c>
      <c r="M40" s="280" t="s">
        <v>15095</v>
      </c>
    </row>
    <row r="41" spans="1:13" ht="201.6">
      <c r="A41" s="280" t="str">
        <f t="shared" si="3"/>
        <v>InstructionsA43</v>
      </c>
      <c r="B41" s="280" t="s">
        <v>532</v>
      </c>
      <c r="C41" s="280" t="s">
        <v>1203</v>
      </c>
      <c r="D41" s="282" t="s">
        <v>14099</v>
      </c>
      <c r="E41" s="313" t="s">
        <v>14207</v>
      </c>
      <c r="F41" s="325" t="s">
        <v>14313</v>
      </c>
      <c r="G41" s="335" t="s">
        <v>15280</v>
      </c>
      <c r="H41" s="288" t="s">
        <v>14543</v>
      </c>
      <c r="I41" s="277" t="s">
        <v>14596</v>
      </c>
      <c r="J41" s="277" t="s">
        <v>14100</v>
      </c>
      <c r="K41" s="289" t="s">
        <v>14655</v>
      </c>
      <c r="L41" s="290" t="s">
        <v>14714</v>
      </c>
      <c r="M41" s="277" t="s">
        <v>14778</v>
      </c>
    </row>
    <row r="42" spans="1:13" ht="187.2">
      <c r="A42" s="280" t="str">
        <f t="shared" si="3"/>
        <v>InstructionsA44</v>
      </c>
      <c r="B42" s="280" t="s">
        <v>532</v>
      </c>
      <c r="C42" s="280" t="s">
        <v>1204</v>
      </c>
      <c r="D42" s="280" t="s">
        <v>14101</v>
      </c>
      <c r="E42" s="313" t="s">
        <v>14208</v>
      </c>
      <c r="F42" s="325" t="s">
        <v>14314</v>
      </c>
      <c r="G42" s="335" t="s">
        <v>14483</v>
      </c>
      <c r="H42" s="288" t="s">
        <v>14544</v>
      </c>
      <c r="I42" s="277" t="s">
        <v>14597</v>
      </c>
      <c r="J42" s="277" t="s">
        <v>14102</v>
      </c>
      <c r="K42" s="289" t="s">
        <v>14656</v>
      </c>
      <c r="L42" s="290" t="s">
        <v>14715</v>
      </c>
      <c r="M42" s="277" t="s">
        <v>14779</v>
      </c>
    </row>
    <row r="43" spans="1:13" ht="86.4">
      <c r="A43" s="280" t="str">
        <f t="shared" si="3"/>
        <v>InstructionsA45</v>
      </c>
      <c r="B43" s="280" t="s">
        <v>532</v>
      </c>
      <c r="C43" s="280" t="s">
        <v>1205</v>
      </c>
      <c r="D43" s="280" t="s">
        <v>14103</v>
      </c>
      <c r="E43" s="313" t="s">
        <v>14104</v>
      </c>
      <c r="F43" s="325" t="s">
        <v>14315</v>
      </c>
      <c r="G43" s="335" t="s">
        <v>14484</v>
      </c>
      <c r="H43" s="277" t="s">
        <v>14545</v>
      </c>
      <c r="I43" s="277" t="s">
        <v>14598</v>
      </c>
      <c r="J43" s="277" t="s">
        <v>14105</v>
      </c>
      <c r="K43" s="289" t="s">
        <v>14657</v>
      </c>
      <c r="L43" s="290" t="s">
        <v>14716</v>
      </c>
      <c r="M43" s="277" t="s">
        <v>14780</v>
      </c>
    </row>
    <row r="44" spans="1:13" ht="139.5" customHeight="1">
      <c r="A44" s="280" t="str">
        <f t="shared" si="3"/>
        <v>InstructionsA46</v>
      </c>
      <c r="B44" s="280" t="s">
        <v>532</v>
      </c>
      <c r="C44" s="280" t="s">
        <v>1206</v>
      </c>
      <c r="D44" s="280" t="s">
        <v>14950</v>
      </c>
      <c r="E44" s="280" t="s">
        <v>14209</v>
      </c>
      <c r="F44" s="330" t="s">
        <v>14316</v>
      </c>
      <c r="G44" s="283" t="s">
        <v>14485</v>
      </c>
      <c r="H44" s="280" t="s">
        <v>14546</v>
      </c>
      <c r="I44" s="280" t="s">
        <v>14599</v>
      </c>
      <c r="J44" s="280" t="s">
        <v>14949</v>
      </c>
      <c r="K44" s="280" t="s">
        <v>14658</v>
      </c>
      <c r="L44" s="280" t="s">
        <v>14717</v>
      </c>
      <c r="M44" s="280" t="s">
        <v>14781</v>
      </c>
    </row>
    <row r="45" spans="1:13" ht="41.4">
      <c r="A45" s="280" t="str">
        <f t="shared" si="3"/>
        <v>InstructionsA48</v>
      </c>
      <c r="B45" s="280" t="s">
        <v>532</v>
      </c>
      <c r="C45" s="280" t="s">
        <v>2508</v>
      </c>
      <c r="D45" s="280" t="s">
        <v>1018</v>
      </c>
      <c r="E45" s="246" t="s">
        <v>13388</v>
      </c>
      <c r="F45" s="330" t="s">
        <v>14317</v>
      </c>
      <c r="G45" s="283" t="s">
        <v>14486</v>
      </c>
      <c r="H45" s="280" t="s">
        <v>14547</v>
      </c>
      <c r="I45" s="280" t="s">
        <v>14600</v>
      </c>
      <c r="J45" s="280" t="s">
        <v>1340</v>
      </c>
      <c r="K45" s="274" t="s">
        <v>14659</v>
      </c>
      <c r="L45" s="286" t="s">
        <v>14718</v>
      </c>
      <c r="M45" s="280" t="s">
        <v>14782</v>
      </c>
    </row>
    <row r="46" spans="1:13" ht="27.6">
      <c r="A46" s="280" t="str">
        <f t="shared" si="3"/>
        <v>InstructionsA49</v>
      </c>
      <c r="B46" s="280" t="s">
        <v>532</v>
      </c>
      <c r="C46" s="280" t="s">
        <v>1207</v>
      </c>
      <c r="D46" s="280" t="s">
        <v>855</v>
      </c>
      <c r="E46" s="246" t="s">
        <v>13389</v>
      </c>
      <c r="F46" s="330" t="s">
        <v>14318</v>
      </c>
      <c r="G46" s="283" t="s">
        <v>1171</v>
      </c>
      <c r="H46" s="280" t="s">
        <v>435</v>
      </c>
      <c r="I46" s="280" t="s">
        <v>295</v>
      </c>
      <c r="J46" s="280" t="s">
        <v>1176</v>
      </c>
      <c r="K46" s="274" t="s">
        <v>190</v>
      </c>
      <c r="L46" s="286" t="s">
        <v>592</v>
      </c>
      <c r="M46" s="280" t="s">
        <v>14783</v>
      </c>
    </row>
    <row r="47" spans="1:13" ht="86.4">
      <c r="A47" s="280" t="str">
        <f t="shared" si="3"/>
        <v>InstructionsA50</v>
      </c>
      <c r="B47" s="280" t="s">
        <v>532</v>
      </c>
      <c r="C47" s="280" t="s">
        <v>1208</v>
      </c>
      <c r="D47" s="280" t="s">
        <v>12504</v>
      </c>
      <c r="E47" s="313" t="s">
        <v>14210</v>
      </c>
      <c r="F47" s="325" t="s">
        <v>14319</v>
      </c>
      <c r="G47" s="335" t="s">
        <v>14487</v>
      </c>
      <c r="H47" s="288" t="s">
        <v>14548</v>
      </c>
      <c r="I47" s="288" t="s">
        <v>14601</v>
      </c>
      <c r="J47" s="328" t="s">
        <v>15361</v>
      </c>
      <c r="K47" s="289" t="s">
        <v>14660</v>
      </c>
      <c r="L47" s="290" t="s">
        <v>14719</v>
      </c>
      <c r="M47" s="288" t="s">
        <v>14784</v>
      </c>
    </row>
    <row r="48" spans="1:13" ht="69">
      <c r="A48" s="234" t="s">
        <v>14097</v>
      </c>
      <c r="B48" s="234" t="s">
        <v>532</v>
      </c>
      <c r="C48" s="280" t="s">
        <v>1209</v>
      </c>
      <c r="D48" s="234" t="s">
        <v>12800</v>
      </c>
      <c r="E48" s="312" t="s">
        <v>13390</v>
      </c>
      <c r="F48" s="330" t="s">
        <v>14320</v>
      </c>
      <c r="G48" s="339" t="s">
        <v>14488</v>
      </c>
      <c r="H48" s="280" t="s">
        <v>12801</v>
      </c>
      <c r="I48" s="280" t="s">
        <v>13559</v>
      </c>
      <c r="J48" s="280" t="s">
        <v>15362</v>
      </c>
      <c r="K48" s="283" t="s">
        <v>13362</v>
      </c>
      <c r="L48" s="292" t="s">
        <v>13524</v>
      </c>
      <c r="M48" s="280" t="s">
        <v>13509</v>
      </c>
    </row>
    <row r="49" spans="1:13" ht="55.2">
      <c r="A49" s="280" t="str">
        <f t="shared" ref="A49:A74" si="4">B49&amp;C49</f>
        <v>InstructionsA52</v>
      </c>
      <c r="B49" s="280" t="s">
        <v>532</v>
      </c>
      <c r="C49" s="280" t="s">
        <v>1210</v>
      </c>
      <c r="D49" s="280" t="s">
        <v>2387</v>
      </c>
      <c r="E49" s="312" t="s">
        <v>15032</v>
      </c>
      <c r="F49" s="330" t="s">
        <v>14321</v>
      </c>
      <c r="G49" s="283" t="s">
        <v>2394</v>
      </c>
      <c r="H49" s="280" t="s">
        <v>2395</v>
      </c>
      <c r="I49" s="280" t="s">
        <v>14602</v>
      </c>
      <c r="J49" s="280" t="s">
        <v>15363</v>
      </c>
      <c r="K49" s="274" t="s">
        <v>14661</v>
      </c>
      <c r="L49" s="286" t="s">
        <v>2396</v>
      </c>
      <c r="M49" s="280" t="s">
        <v>2397</v>
      </c>
    </row>
    <row r="50" spans="1:13" ht="138">
      <c r="A50" s="280" t="str">
        <f t="shared" si="4"/>
        <v>InstructionsA53</v>
      </c>
      <c r="B50" s="280" t="s">
        <v>532</v>
      </c>
      <c r="C50" s="280" t="s">
        <v>1211</v>
      </c>
      <c r="D50" s="280" t="s">
        <v>12503</v>
      </c>
      <c r="E50" s="313" t="s">
        <v>13391</v>
      </c>
      <c r="F50" s="325" t="s">
        <v>14322</v>
      </c>
      <c r="G50" s="336" t="s">
        <v>14489</v>
      </c>
      <c r="H50" s="288" t="s">
        <v>12515</v>
      </c>
      <c r="I50" s="288" t="s">
        <v>14603</v>
      </c>
      <c r="J50" s="328" t="s">
        <v>15364</v>
      </c>
      <c r="K50" s="289" t="s">
        <v>14662</v>
      </c>
      <c r="L50" s="290" t="s">
        <v>13525</v>
      </c>
      <c r="M50" s="288" t="s">
        <v>14785</v>
      </c>
    </row>
    <row r="51" spans="1:13" ht="82.8">
      <c r="A51" s="280" t="str">
        <f t="shared" si="4"/>
        <v>InstructionsA54</v>
      </c>
      <c r="B51" s="280" t="s">
        <v>532</v>
      </c>
      <c r="C51" s="280" t="s">
        <v>1212</v>
      </c>
      <c r="D51" s="280" t="s">
        <v>12987</v>
      </c>
      <c r="E51" s="312" t="s">
        <v>13392</v>
      </c>
      <c r="F51" s="330" t="s">
        <v>14323</v>
      </c>
      <c r="G51" s="283" t="s">
        <v>12988</v>
      </c>
      <c r="H51" s="280" t="s">
        <v>12989</v>
      </c>
      <c r="I51" s="280" t="s">
        <v>12990</v>
      </c>
      <c r="J51" s="280" t="s">
        <v>15365</v>
      </c>
      <c r="K51" s="274" t="s">
        <v>12991</v>
      </c>
      <c r="L51" s="286" t="s">
        <v>12992</v>
      </c>
      <c r="M51" s="280" t="s">
        <v>12993</v>
      </c>
    </row>
    <row r="52" spans="1:13" ht="82.8">
      <c r="A52" s="280" t="str">
        <f t="shared" si="4"/>
        <v>InstructionsA55</v>
      </c>
      <c r="B52" s="280" t="s">
        <v>532</v>
      </c>
      <c r="C52" s="280" t="s">
        <v>1213</v>
      </c>
      <c r="D52" s="280" t="s">
        <v>2388</v>
      </c>
      <c r="E52" s="280" t="s">
        <v>14211</v>
      </c>
      <c r="F52" s="330" t="s">
        <v>14324</v>
      </c>
      <c r="G52" s="283" t="s">
        <v>2398</v>
      </c>
      <c r="H52" s="280" t="s">
        <v>2399</v>
      </c>
      <c r="I52" s="280" t="s">
        <v>2400</v>
      </c>
      <c r="J52" s="280" t="s">
        <v>15366</v>
      </c>
      <c r="K52" s="274" t="s">
        <v>2401</v>
      </c>
      <c r="L52" s="286" t="s">
        <v>14720</v>
      </c>
      <c r="M52" s="280" t="s">
        <v>2402</v>
      </c>
    </row>
    <row r="53" spans="1:13" ht="110.4">
      <c r="A53" s="280" t="str">
        <f t="shared" si="4"/>
        <v>InstructionsA56</v>
      </c>
      <c r="B53" s="280" t="s">
        <v>532</v>
      </c>
      <c r="C53" s="280" t="s">
        <v>1214</v>
      </c>
      <c r="D53" s="280" t="s">
        <v>2389</v>
      </c>
      <c r="E53" s="280" t="s">
        <v>14212</v>
      </c>
      <c r="F53" s="330" t="s">
        <v>14325</v>
      </c>
      <c r="G53" s="283" t="s">
        <v>2403</v>
      </c>
      <c r="H53" s="280" t="s">
        <v>2404</v>
      </c>
      <c r="I53" s="280" t="s">
        <v>2405</v>
      </c>
      <c r="J53" s="280" t="s">
        <v>15367</v>
      </c>
      <c r="K53" s="274" t="s">
        <v>2406</v>
      </c>
      <c r="L53" s="286" t="s">
        <v>2407</v>
      </c>
      <c r="M53" s="280" t="s">
        <v>2408</v>
      </c>
    </row>
    <row r="54" spans="1:13" ht="69">
      <c r="A54" s="280" t="str">
        <f t="shared" si="4"/>
        <v>InstructionsA57</v>
      </c>
      <c r="B54" s="280" t="s">
        <v>532</v>
      </c>
      <c r="C54" s="280" t="s">
        <v>424</v>
      </c>
      <c r="D54" s="280" t="s">
        <v>2390</v>
      </c>
      <c r="E54" s="280" t="s">
        <v>14213</v>
      </c>
      <c r="F54" s="330" t="s">
        <v>14326</v>
      </c>
      <c r="G54" s="283" t="s">
        <v>2409</v>
      </c>
      <c r="H54" s="280" t="s">
        <v>2410</v>
      </c>
      <c r="I54" s="280" t="s">
        <v>2411</v>
      </c>
      <c r="J54" s="280" t="s">
        <v>15368</v>
      </c>
      <c r="K54" s="274" t="s">
        <v>2412</v>
      </c>
      <c r="L54" s="286" t="s">
        <v>2413</v>
      </c>
      <c r="M54" s="280" t="s">
        <v>2414</v>
      </c>
    </row>
    <row r="55" spans="1:13" ht="43.2">
      <c r="A55" s="280" t="str">
        <f t="shared" si="4"/>
        <v>InstructionsA58</v>
      </c>
      <c r="B55" s="280" t="s">
        <v>532</v>
      </c>
      <c r="C55" s="280" t="s">
        <v>1215</v>
      </c>
      <c r="D55" s="282" t="s">
        <v>2391</v>
      </c>
      <c r="E55" s="282" t="s">
        <v>14214</v>
      </c>
      <c r="F55" s="331" t="s">
        <v>14327</v>
      </c>
      <c r="G55" s="334" t="s">
        <v>2415</v>
      </c>
      <c r="H55" s="282" t="s">
        <v>2416</v>
      </c>
      <c r="I55" s="282" t="s">
        <v>2417</v>
      </c>
      <c r="J55" s="282" t="s">
        <v>15369</v>
      </c>
      <c r="K55" s="276" t="s">
        <v>2418</v>
      </c>
      <c r="L55" s="287" t="s">
        <v>2419</v>
      </c>
      <c r="M55" s="282" t="s">
        <v>2420</v>
      </c>
    </row>
    <row r="56" spans="1:13" ht="43.2">
      <c r="A56" s="280" t="str">
        <f t="shared" si="4"/>
        <v>InstructionsA59</v>
      </c>
      <c r="B56" s="280" t="s">
        <v>532</v>
      </c>
      <c r="C56" s="280" t="s">
        <v>1216</v>
      </c>
      <c r="D56" s="282" t="s">
        <v>2392</v>
      </c>
      <c r="E56" s="282" t="s">
        <v>14215</v>
      </c>
      <c r="F56" s="331" t="s">
        <v>14328</v>
      </c>
      <c r="G56" s="334" t="s">
        <v>2421</v>
      </c>
      <c r="H56" s="282" t="s">
        <v>2422</v>
      </c>
      <c r="I56" s="282" t="s">
        <v>2423</v>
      </c>
      <c r="J56" s="282" t="s">
        <v>15370</v>
      </c>
      <c r="K56" s="276" t="s">
        <v>2424</v>
      </c>
      <c r="L56" s="287" t="s">
        <v>2425</v>
      </c>
      <c r="M56" s="282" t="s">
        <v>2426</v>
      </c>
    </row>
    <row r="57" spans="1:13" ht="50.4">
      <c r="A57" s="280" t="str">
        <f t="shared" si="4"/>
        <v>InstructionsA60</v>
      </c>
      <c r="B57" s="280" t="s">
        <v>532</v>
      </c>
      <c r="C57" s="280" t="s">
        <v>1217</v>
      </c>
      <c r="D57" s="282" t="s">
        <v>14098</v>
      </c>
      <c r="E57" s="282" t="s">
        <v>14216</v>
      </c>
      <c r="F57" s="331" t="s">
        <v>14329</v>
      </c>
      <c r="G57" s="334" t="s">
        <v>2427</v>
      </c>
      <c r="H57" s="282" t="s">
        <v>2428</v>
      </c>
      <c r="I57" s="282" t="s">
        <v>2429</v>
      </c>
      <c r="J57" s="282" t="s">
        <v>15371</v>
      </c>
      <c r="K57" s="276" t="s">
        <v>2430</v>
      </c>
      <c r="L57" s="287" t="s">
        <v>2431</v>
      </c>
      <c r="M57" s="282" t="s">
        <v>2432</v>
      </c>
    </row>
    <row r="58" spans="1:13" ht="331.2">
      <c r="A58" s="280" t="str">
        <f t="shared" si="4"/>
        <v>InstructionsA61</v>
      </c>
      <c r="B58" s="280" t="s">
        <v>532</v>
      </c>
      <c r="C58" s="280" t="s">
        <v>1218</v>
      </c>
      <c r="D58" s="280" t="s">
        <v>13231</v>
      </c>
      <c r="E58" s="280" t="s">
        <v>14217</v>
      </c>
      <c r="F58" s="330" t="s">
        <v>15119</v>
      </c>
      <c r="G58" s="340" t="s">
        <v>15281</v>
      </c>
      <c r="H58" s="280" t="s">
        <v>14549</v>
      </c>
      <c r="I58" s="280" t="s">
        <v>14604</v>
      </c>
      <c r="J58" s="280" t="s">
        <v>15372</v>
      </c>
      <c r="K58" s="274" t="s">
        <v>14663</v>
      </c>
      <c r="L58" s="286" t="s">
        <v>14721</v>
      </c>
      <c r="M58" s="280" t="s">
        <v>14786</v>
      </c>
    </row>
    <row r="59" spans="1:13" ht="82.8">
      <c r="A59" s="280" t="str">
        <f t="shared" si="4"/>
        <v>InstructionsA62</v>
      </c>
      <c r="B59" s="280" t="s">
        <v>532</v>
      </c>
      <c r="C59" s="280" t="s">
        <v>1219</v>
      </c>
      <c r="D59" s="280" t="s">
        <v>2393</v>
      </c>
      <c r="E59" s="280" t="s">
        <v>14218</v>
      </c>
      <c r="F59" s="330" t="s">
        <v>14330</v>
      </c>
      <c r="G59" s="283" t="s">
        <v>2433</v>
      </c>
      <c r="H59" s="280" t="s">
        <v>2434</v>
      </c>
      <c r="I59" s="280" t="s">
        <v>2435</v>
      </c>
      <c r="J59" s="280" t="s">
        <v>15373</v>
      </c>
      <c r="K59" s="274" t="s">
        <v>2436</v>
      </c>
      <c r="L59" s="286" t="s">
        <v>2437</v>
      </c>
      <c r="M59" s="280" t="s">
        <v>2438</v>
      </c>
    </row>
    <row r="60" spans="1:13" ht="165.6">
      <c r="A60" s="280" t="str">
        <f t="shared" si="4"/>
        <v>InstructionsA63</v>
      </c>
      <c r="B60" s="280" t="s">
        <v>532</v>
      </c>
      <c r="C60" s="280" t="s">
        <v>1220</v>
      </c>
      <c r="D60" s="280" t="s">
        <v>13234</v>
      </c>
      <c r="E60" s="280" t="s">
        <v>14219</v>
      </c>
      <c r="F60" s="330" t="s">
        <v>14331</v>
      </c>
      <c r="G60" s="283" t="s">
        <v>14490</v>
      </c>
      <c r="H60" s="280" t="s">
        <v>14550</v>
      </c>
      <c r="I60" s="280" t="s">
        <v>15078</v>
      </c>
      <c r="J60" s="280" t="s">
        <v>15374</v>
      </c>
      <c r="K60" s="274" t="s">
        <v>14664</v>
      </c>
      <c r="L60" s="286" t="s">
        <v>14722</v>
      </c>
      <c r="M60" s="280" t="s">
        <v>14787</v>
      </c>
    </row>
    <row r="61" spans="1:13" ht="193.2">
      <c r="A61" s="280" t="str">
        <f t="shared" si="4"/>
        <v>InstructionsA64</v>
      </c>
      <c r="B61" s="280" t="s">
        <v>532</v>
      </c>
      <c r="C61" s="280" t="s">
        <v>1221</v>
      </c>
      <c r="D61" s="280" t="s">
        <v>13235</v>
      </c>
      <c r="E61" s="280" t="s">
        <v>14220</v>
      </c>
      <c r="F61" s="330" t="s">
        <v>14332</v>
      </c>
      <c r="G61" s="283" t="s">
        <v>14491</v>
      </c>
      <c r="H61" s="280" t="s">
        <v>14551</v>
      </c>
      <c r="I61" s="280" t="s">
        <v>15079</v>
      </c>
      <c r="J61" s="280" t="s">
        <v>15375</v>
      </c>
      <c r="K61" s="274" t="s">
        <v>14665</v>
      </c>
      <c r="L61" s="286" t="s">
        <v>14723</v>
      </c>
      <c r="M61" s="280" t="s">
        <v>14788</v>
      </c>
    </row>
    <row r="62" spans="1:13" ht="115.2">
      <c r="A62" s="280" t="str">
        <f t="shared" si="4"/>
        <v>InstructionsA65</v>
      </c>
      <c r="B62" s="280" t="s">
        <v>532</v>
      </c>
      <c r="C62" s="280" t="s">
        <v>638</v>
      </c>
      <c r="D62" s="280" t="s">
        <v>12485</v>
      </c>
      <c r="E62" s="280" t="s">
        <v>14221</v>
      </c>
      <c r="F62" s="325" t="s">
        <v>14333</v>
      </c>
      <c r="G62" s="336" t="s">
        <v>14492</v>
      </c>
      <c r="H62" s="288" t="s">
        <v>14552</v>
      </c>
      <c r="I62" s="288" t="s">
        <v>14605</v>
      </c>
      <c r="J62" s="328" t="s">
        <v>15376</v>
      </c>
      <c r="K62" s="289" t="s">
        <v>14666</v>
      </c>
      <c r="L62" s="290" t="s">
        <v>14724</v>
      </c>
      <c r="M62" s="288" t="s">
        <v>14789</v>
      </c>
    </row>
    <row r="63" spans="1:13" ht="41.4">
      <c r="A63" s="280" t="str">
        <f t="shared" si="4"/>
        <v>InstructionsA66</v>
      </c>
      <c r="B63" s="280" t="s">
        <v>532</v>
      </c>
      <c r="C63" s="280" t="s">
        <v>639</v>
      </c>
      <c r="D63" s="280" t="s">
        <v>640</v>
      </c>
      <c r="E63" s="280" t="s">
        <v>15031</v>
      </c>
      <c r="F63" s="330" t="s">
        <v>14334</v>
      </c>
      <c r="G63" s="283" t="s">
        <v>642</v>
      </c>
      <c r="H63" s="280" t="s">
        <v>339</v>
      </c>
      <c r="I63" s="280" t="s">
        <v>76</v>
      </c>
      <c r="J63" s="280" t="s">
        <v>643</v>
      </c>
      <c r="K63" s="274" t="s">
        <v>191</v>
      </c>
      <c r="L63" s="286" t="s">
        <v>644</v>
      </c>
      <c r="M63" s="280" t="s">
        <v>14790</v>
      </c>
    </row>
    <row r="64" spans="1:13" ht="193.2">
      <c r="A64" s="280" t="str">
        <f t="shared" si="4"/>
        <v>InstructionsA67</v>
      </c>
      <c r="B64" s="280" t="s">
        <v>532</v>
      </c>
      <c r="C64" s="280" t="s">
        <v>641</v>
      </c>
      <c r="D64" s="280" t="s">
        <v>648</v>
      </c>
      <c r="E64" s="280" t="s">
        <v>14222</v>
      </c>
      <c r="F64" s="330" t="s">
        <v>14335</v>
      </c>
      <c r="G64" s="283" t="s">
        <v>14493</v>
      </c>
      <c r="H64" s="165" t="s">
        <v>14553</v>
      </c>
      <c r="I64" s="280" t="s">
        <v>14606</v>
      </c>
      <c r="J64" s="280" t="s">
        <v>1363</v>
      </c>
      <c r="K64" s="274" t="s">
        <v>14667</v>
      </c>
      <c r="L64" s="286" t="s">
        <v>14725</v>
      </c>
      <c r="M64" s="280" t="s">
        <v>14791</v>
      </c>
    </row>
    <row r="65" spans="1:15" ht="27.6">
      <c r="A65" s="280" t="str">
        <f t="shared" si="4"/>
        <v>InstructionsA68</v>
      </c>
      <c r="B65" s="280" t="s">
        <v>532</v>
      </c>
      <c r="C65" s="280" t="s">
        <v>2509</v>
      </c>
      <c r="D65" s="280" t="s">
        <v>916</v>
      </c>
      <c r="E65" s="275" t="s">
        <v>13393</v>
      </c>
      <c r="F65" s="330" t="s">
        <v>14336</v>
      </c>
      <c r="G65" s="283" t="s">
        <v>1026</v>
      </c>
      <c r="H65" s="165" t="s">
        <v>340</v>
      </c>
      <c r="I65" s="280" t="s">
        <v>1172</v>
      </c>
      <c r="J65" s="280" t="s">
        <v>1173</v>
      </c>
      <c r="K65" s="274" t="s">
        <v>15143</v>
      </c>
      <c r="L65" s="286" t="s">
        <v>1256</v>
      </c>
      <c r="M65" s="280" t="s">
        <v>14792</v>
      </c>
    </row>
    <row r="66" spans="1:15" ht="303.60000000000002">
      <c r="A66" s="280" t="str">
        <f t="shared" si="4"/>
        <v>InstructionsA69</v>
      </c>
      <c r="B66" s="280" t="s">
        <v>532</v>
      </c>
      <c r="C66" s="280" t="s">
        <v>645</v>
      </c>
      <c r="D66" s="280" t="s">
        <v>13239</v>
      </c>
      <c r="E66" s="312" t="s">
        <v>13394</v>
      </c>
      <c r="F66" s="330" t="s">
        <v>14337</v>
      </c>
      <c r="G66" s="341" t="s">
        <v>13574</v>
      </c>
      <c r="H66" s="165" t="s">
        <v>13518</v>
      </c>
      <c r="I66" s="280" t="s">
        <v>14607</v>
      </c>
      <c r="J66" s="280" t="s">
        <v>13546</v>
      </c>
      <c r="K66" s="274" t="s">
        <v>13363</v>
      </c>
      <c r="L66" s="286" t="s">
        <v>13526</v>
      </c>
      <c r="M66" s="280" t="s">
        <v>13510</v>
      </c>
    </row>
    <row r="67" spans="1:15" ht="151.80000000000001">
      <c r="A67" s="280" t="str">
        <f t="shared" si="4"/>
        <v>InstructionsA70</v>
      </c>
      <c r="B67" s="280" t="s">
        <v>532</v>
      </c>
      <c r="C67" s="280" t="s">
        <v>2510</v>
      </c>
      <c r="D67" s="280" t="s">
        <v>13236</v>
      </c>
      <c r="E67" s="312" t="s">
        <v>14223</v>
      </c>
      <c r="F67" s="330" t="s">
        <v>14338</v>
      </c>
      <c r="G67" s="283" t="s">
        <v>14494</v>
      </c>
      <c r="H67" s="165" t="s">
        <v>13519</v>
      </c>
      <c r="I67" s="280" t="s">
        <v>13560</v>
      </c>
      <c r="J67" s="280" t="s">
        <v>13547</v>
      </c>
      <c r="K67" s="274" t="s">
        <v>13364</v>
      </c>
      <c r="L67" s="286" t="s">
        <v>13527</v>
      </c>
      <c r="M67" s="280" t="s">
        <v>13511</v>
      </c>
    </row>
    <row r="68" spans="1:15" ht="138">
      <c r="A68" s="280" t="str">
        <f t="shared" si="4"/>
        <v>InstructionsA71</v>
      </c>
      <c r="B68" s="280" t="s">
        <v>532</v>
      </c>
      <c r="C68" s="280" t="s">
        <v>646</v>
      </c>
      <c r="D68" s="280" t="s">
        <v>13237</v>
      </c>
      <c r="E68" s="312" t="s">
        <v>14224</v>
      </c>
      <c r="F68" s="330" t="s">
        <v>14339</v>
      </c>
      <c r="G68" s="341" t="s">
        <v>13575</v>
      </c>
      <c r="H68" s="165" t="s">
        <v>13520</v>
      </c>
      <c r="I68" s="280" t="s">
        <v>13561</v>
      </c>
      <c r="J68" s="280" t="s">
        <v>13548</v>
      </c>
      <c r="K68" s="274" t="s">
        <v>13365</v>
      </c>
      <c r="L68" s="286" t="s">
        <v>13528</v>
      </c>
      <c r="M68" s="280" t="s">
        <v>13512</v>
      </c>
    </row>
    <row r="69" spans="1:15" ht="289.8">
      <c r="A69" s="280" t="str">
        <f t="shared" si="4"/>
        <v>InstructionsA72</v>
      </c>
      <c r="B69" s="280" t="s">
        <v>532</v>
      </c>
      <c r="C69" s="280" t="s">
        <v>647</v>
      </c>
      <c r="D69" s="280" t="s">
        <v>13238</v>
      </c>
      <c r="E69" s="312" t="s">
        <v>14225</v>
      </c>
      <c r="F69" s="330" t="s">
        <v>14340</v>
      </c>
      <c r="G69" s="283" t="s">
        <v>14495</v>
      </c>
      <c r="H69" s="165" t="s">
        <v>13521</v>
      </c>
      <c r="I69" s="280" t="s">
        <v>13562</v>
      </c>
      <c r="J69" s="280" t="s">
        <v>13549</v>
      </c>
      <c r="K69" s="274" t="s">
        <v>13366</v>
      </c>
      <c r="L69" s="286" t="s">
        <v>13529</v>
      </c>
      <c r="M69" s="280" t="s">
        <v>13513</v>
      </c>
    </row>
    <row r="70" spans="1:15" ht="96.6">
      <c r="A70" s="280" t="str">
        <f t="shared" si="4"/>
        <v>InstructionsA73</v>
      </c>
      <c r="B70" s="280" t="s">
        <v>532</v>
      </c>
      <c r="C70" s="280" t="s">
        <v>2565</v>
      </c>
      <c r="D70" s="280" t="s">
        <v>936</v>
      </c>
      <c r="E70" s="312" t="s">
        <v>13395</v>
      </c>
      <c r="F70" s="330" t="s">
        <v>14341</v>
      </c>
      <c r="G70" s="283" t="s">
        <v>826</v>
      </c>
      <c r="H70" s="165" t="s">
        <v>136</v>
      </c>
      <c r="I70" s="280" t="s">
        <v>77</v>
      </c>
      <c r="J70" s="280" t="s">
        <v>1364</v>
      </c>
      <c r="K70" s="274" t="s">
        <v>1123</v>
      </c>
      <c r="L70" s="286" t="s">
        <v>1257</v>
      </c>
      <c r="M70" s="280" t="s">
        <v>14793</v>
      </c>
    </row>
    <row r="71" spans="1:15" ht="41.4">
      <c r="A71" s="280" t="str">
        <f t="shared" si="4"/>
        <v>InstructionsA74</v>
      </c>
      <c r="B71" s="280" t="s">
        <v>532</v>
      </c>
      <c r="C71" s="280" t="s">
        <v>14070</v>
      </c>
      <c r="D71" s="280" t="s">
        <v>937</v>
      </c>
      <c r="E71" s="246" t="s">
        <v>13396</v>
      </c>
      <c r="F71" s="330" t="s">
        <v>14342</v>
      </c>
      <c r="G71" s="283" t="s">
        <v>827</v>
      </c>
      <c r="H71" s="165" t="s">
        <v>137</v>
      </c>
      <c r="I71" s="280" t="s">
        <v>78</v>
      </c>
      <c r="J71" s="280" t="s">
        <v>1046</v>
      </c>
      <c r="K71" s="274" t="s">
        <v>1124</v>
      </c>
      <c r="L71" s="286" t="s">
        <v>1258</v>
      </c>
      <c r="M71" s="280" t="s">
        <v>14794</v>
      </c>
    </row>
    <row r="72" spans="1:15">
      <c r="A72" s="280" t="str">
        <f t="shared" si="4"/>
        <v>DefinitionsB2</v>
      </c>
      <c r="B72" s="280" t="s">
        <v>948</v>
      </c>
      <c r="C72" s="280" t="s">
        <v>995</v>
      </c>
      <c r="D72" s="280" t="s">
        <v>1047</v>
      </c>
      <c r="E72" s="275" t="s">
        <v>15141</v>
      </c>
      <c r="F72" s="330" t="s">
        <v>14343</v>
      </c>
      <c r="G72" s="283" t="s">
        <v>868</v>
      </c>
      <c r="H72" s="165" t="s">
        <v>1047</v>
      </c>
      <c r="I72" s="280" t="s">
        <v>79</v>
      </c>
      <c r="J72" s="280" t="s">
        <v>1048</v>
      </c>
      <c r="K72" s="274" t="s">
        <v>1125</v>
      </c>
      <c r="L72" s="286" t="s">
        <v>593</v>
      </c>
      <c r="M72" s="280" t="s">
        <v>14795</v>
      </c>
    </row>
    <row r="73" spans="1:15">
      <c r="A73" s="280" t="str">
        <f t="shared" si="4"/>
        <v>DefinitionsB3</v>
      </c>
      <c r="B73" s="280" t="s">
        <v>948</v>
      </c>
      <c r="C73" s="280" t="s">
        <v>949</v>
      </c>
      <c r="D73" s="280" t="s">
        <v>1000</v>
      </c>
      <c r="E73" s="246" t="s">
        <v>13397</v>
      </c>
      <c r="F73" s="330" t="s">
        <v>1000</v>
      </c>
      <c r="G73" s="283" t="s">
        <v>1000</v>
      </c>
      <c r="H73" s="165" t="s">
        <v>1000</v>
      </c>
      <c r="I73" s="280" t="s">
        <v>1000</v>
      </c>
      <c r="J73" s="280" t="s">
        <v>1000</v>
      </c>
      <c r="K73" s="274" t="s">
        <v>1000</v>
      </c>
      <c r="L73" s="286" t="s">
        <v>1000</v>
      </c>
      <c r="M73" s="280" t="s">
        <v>1000</v>
      </c>
    </row>
    <row r="74" spans="1:15">
      <c r="A74" s="280" t="str">
        <f t="shared" si="4"/>
        <v>DefinitionsB4</v>
      </c>
      <c r="B74" s="280" t="s">
        <v>948</v>
      </c>
      <c r="C74" s="280" t="s">
        <v>950</v>
      </c>
      <c r="D74" s="280" t="s">
        <v>1002</v>
      </c>
      <c r="E74" s="275" t="s">
        <v>15142</v>
      </c>
      <c r="F74" s="330" t="s">
        <v>14344</v>
      </c>
      <c r="G74" s="283" t="s">
        <v>15282</v>
      </c>
      <c r="H74" s="165" t="s">
        <v>129</v>
      </c>
      <c r="I74" s="280" t="s">
        <v>80</v>
      </c>
      <c r="J74" s="280" t="s">
        <v>1341</v>
      </c>
      <c r="K74" s="274" t="s">
        <v>192</v>
      </c>
      <c r="L74" s="286" t="s">
        <v>158</v>
      </c>
      <c r="M74" s="280" t="s">
        <v>14796</v>
      </c>
    </row>
    <row r="75" spans="1:15" ht="82.8">
      <c r="A75" s="280" t="str">
        <f t="shared" ref="A75" si="5">B75&amp;C75</f>
        <v>DefinitionsB5</v>
      </c>
      <c r="B75" s="280" t="s">
        <v>948</v>
      </c>
      <c r="C75" s="280" t="s">
        <v>951</v>
      </c>
      <c r="D75" s="280" t="s">
        <v>14096</v>
      </c>
      <c r="E75" s="280" t="s">
        <v>14226</v>
      </c>
      <c r="F75" s="330" t="s">
        <v>14345</v>
      </c>
      <c r="G75" s="283" t="s">
        <v>15283</v>
      </c>
      <c r="H75" s="280" t="s">
        <v>14554</v>
      </c>
      <c r="I75" s="280" t="s">
        <v>14608</v>
      </c>
      <c r="J75" s="280" t="s">
        <v>14951</v>
      </c>
      <c r="K75" s="280" t="s">
        <v>14668</v>
      </c>
      <c r="L75" s="280" t="s">
        <v>14726</v>
      </c>
      <c r="M75" s="280" t="s">
        <v>14797</v>
      </c>
      <c r="N75" s="280" t="s">
        <v>14096</v>
      </c>
      <c r="O75" s="280" t="s">
        <v>14096</v>
      </c>
    </row>
    <row r="76" spans="1:15" ht="27.6">
      <c r="A76" s="280" t="str">
        <f>B76&amp;C76</f>
        <v>DefinitionsB6</v>
      </c>
      <c r="B76" s="280" t="s">
        <v>948</v>
      </c>
      <c r="C76" s="280" t="s">
        <v>952</v>
      </c>
      <c r="D76" s="280" t="s">
        <v>858</v>
      </c>
      <c r="E76" s="275" t="s">
        <v>565</v>
      </c>
      <c r="F76" s="330" t="s">
        <v>14346</v>
      </c>
      <c r="G76" s="283" t="s">
        <v>629</v>
      </c>
      <c r="H76" s="280" t="s">
        <v>1049</v>
      </c>
      <c r="I76" s="280" t="s">
        <v>81</v>
      </c>
      <c r="J76" s="280" t="s">
        <v>1247</v>
      </c>
      <c r="K76" s="274" t="s">
        <v>1126</v>
      </c>
      <c r="L76" s="286" t="s">
        <v>595</v>
      </c>
      <c r="M76" s="280" t="s">
        <v>13290</v>
      </c>
      <c r="N76" s="178" t="s">
        <v>13267</v>
      </c>
    </row>
    <row r="77" spans="1:15">
      <c r="A77" s="280" t="str">
        <f>B77&amp;C77</f>
        <v>DefinitionsB7</v>
      </c>
      <c r="B77" s="280" t="s">
        <v>948</v>
      </c>
      <c r="C77" s="280" t="s">
        <v>953</v>
      </c>
      <c r="D77" s="280" t="s">
        <v>1004</v>
      </c>
      <c r="E77" s="246" t="s">
        <v>13398</v>
      </c>
      <c r="F77" s="330" t="s">
        <v>14347</v>
      </c>
      <c r="G77" s="283" t="s">
        <v>15260</v>
      </c>
      <c r="H77" s="165" t="s">
        <v>342</v>
      </c>
      <c r="I77" s="280" t="s">
        <v>82</v>
      </c>
      <c r="J77" s="280" t="s">
        <v>1342</v>
      </c>
      <c r="K77" s="274" t="s">
        <v>193</v>
      </c>
      <c r="L77" s="286" t="s">
        <v>159</v>
      </c>
      <c r="M77" s="280" t="s">
        <v>13291</v>
      </c>
      <c r="N77" s="178" t="s">
        <v>13268</v>
      </c>
    </row>
    <row r="78" spans="1:15">
      <c r="A78" s="280" t="str">
        <f>B78&amp;C78</f>
        <v>DefinitionsB8</v>
      </c>
      <c r="B78" s="280" t="s">
        <v>948</v>
      </c>
      <c r="C78" s="280" t="s">
        <v>954</v>
      </c>
      <c r="D78" s="280" t="s">
        <v>1006</v>
      </c>
      <c r="E78" s="246" t="s">
        <v>13292</v>
      </c>
      <c r="F78" s="330" t="s">
        <v>14348</v>
      </c>
      <c r="G78" s="283" t="s">
        <v>1050</v>
      </c>
      <c r="H78" s="165" t="s">
        <v>1051</v>
      </c>
      <c r="I78" s="280" t="s">
        <v>83</v>
      </c>
      <c r="J78" s="280" t="s">
        <v>100</v>
      </c>
      <c r="K78" s="274" t="s">
        <v>194</v>
      </c>
      <c r="L78" s="286" t="s">
        <v>596</v>
      </c>
      <c r="M78" s="280" t="s">
        <v>13293</v>
      </c>
      <c r="N78" s="178" t="s">
        <v>13269</v>
      </c>
    </row>
    <row r="79" spans="1:15" ht="41.4">
      <c r="A79" s="280" t="str">
        <f>B79&amp;C79</f>
        <v>DefinitionsB9</v>
      </c>
      <c r="B79" s="280" t="s">
        <v>948</v>
      </c>
      <c r="C79" s="280" t="s">
        <v>955</v>
      </c>
      <c r="D79" s="280" t="s">
        <v>867</v>
      </c>
      <c r="E79" s="246" t="s">
        <v>13294</v>
      </c>
      <c r="F79" s="330" t="s">
        <v>14349</v>
      </c>
      <c r="G79" s="283" t="s">
        <v>867</v>
      </c>
      <c r="H79" s="280" t="s">
        <v>867</v>
      </c>
      <c r="I79" s="280" t="s">
        <v>867</v>
      </c>
      <c r="J79" s="280" t="s">
        <v>867</v>
      </c>
      <c r="K79" s="274" t="s">
        <v>867</v>
      </c>
      <c r="L79" s="286" t="s">
        <v>867</v>
      </c>
      <c r="M79" s="280" t="s">
        <v>867</v>
      </c>
      <c r="N79" s="178" t="s">
        <v>13270</v>
      </c>
    </row>
    <row r="80" spans="1:15">
      <c r="A80" s="280" t="str">
        <f>B80&amp;C80</f>
        <v>DefinitionsB10</v>
      </c>
      <c r="B80" s="280" t="s">
        <v>948</v>
      </c>
      <c r="C80" s="280" t="s">
        <v>956</v>
      </c>
      <c r="D80" s="280" t="s">
        <v>859</v>
      </c>
      <c r="E80" s="275" t="s">
        <v>865</v>
      </c>
      <c r="F80" s="330" t="s">
        <v>14350</v>
      </c>
      <c r="G80" s="283" t="s">
        <v>1052</v>
      </c>
      <c r="H80" s="280" t="s">
        <v>1053</v>
      </c>
      <c r="I80" s="280" t="s">
        <v>1053</v>
      </c>
      <c r="J80" s="280" t="s">
        <v>1343</v>
      </c>
      <c r="K80" s="274" t="s">
        <v>859</v>
      </c>
      <c r="L80" s="286" t="s">
        <v>1053</v>
      </c>
      <c r="M80" s="280" t="s">
        <v>13295</v>
      </c>
      <c r="N80" s="178" t="s">
        <v>13271</v>
      </c>
    </row>
    <row r="81" spans="1:14" ht="27.6">
      <c r="A81" s="280" t="str">
        <f t="shared" ref="A81" si="6">B81&amp;C81</f>
        <v>DefinitionsB11</v>
      </c>
      <c r="B81" s="280" t="s">
        <v>948</v>
      </c>
      <c r="C81" s="280" t="s">
        <v>957</v>
      </c>
      <c r="D81" s="280" t="s">
        <v>13288</v>
      </c>
      <c r="E81" s="246" t="s">
        <v>13296</v>
      </c>
      <c r="F81" s="330" t="s">
        <v>14351</v>
      </c>
      <c r="G81" s="283" t="s">
        <v>860</v>
      </c>
      <c r="H81" s="280" t="s">
        <v>1054</v>
      </c>
      <c r="I81" s="280" t="s">
        <v>1055</v>
      </c>
      <c r="J81" s="280" t="s">
        <v>1344</v>
      </c>
      <c r="K81" s="274" t="s">
        <v>195</v>
      </c>
      <c r="L81" s="286" t="s">
        <v>597</v>
      </c>
      <c r="M81" s="280" t="s">
        <v>13297</v>
      </c>
      <c r="N81" s="178" t="s">
        <v>13272</v>
      </c>
    </row>
    <row r="82" spans="1:14">
      <c r="A82" s="280" t="str">
        <f t="shared" ref="A82:A104" si="7">B82&amp;C82</f>
        <v>DefinitionsB12</v>
      </c>
      <c r="B82" s="280" t="s">
        <v>948</v>
      </c>
      <c r="C82" s="280" t="s">
        <v>958</v>
      </c>
      <c r="D82" s="280" t="s">
        <v>1009</v>
      </c>
      <c r="E82" s="246" t="s">
        <v>13399</v>
      </c>
      <c r="F82" s="330" t="s">
        <v>14352</v>
      </c>
      <c r="G82" s="283" t="s">
        <v>358</v>
      </c>
      <c r="H82" s="280" t="s">
        <v>1056</v>
      </c>
      <c r="I82" s="280" t="s">
        <v>84</v>
      </c>
      <c r="J82" s="280" t="s">
        <v>101</v>
      </c>
      <c r="K82" s="274" t="s">
        <v>196</v>
      </c>
      <c r="L82" s="286" t="s">
        <v>598</v>
      </c>
      <c r="M82" s="280" t="s">
        <v>13298</v>
      </c>
      <c r="N82" s="178" t="s">
        <v>13332</v>
      </c>
    </row>
    <row r="83" spans="1:14">
      <c r="A83" s="280" t="str">
        <f t="shared" si="7"/>
        <v>DefinitionsB13</v>
      </c>
      <c r="B83" s="280" t="s">
        <v>948</v>
      </c>
      <c r="C83" s="280" t="s">
        <v>959</v>
      </c>
      <c r="D83" s="280" t="s">
        <v>13289</v>
      </c>
      <c r="E83" s="246" t="s">
        <v>13299</v>
      </c>
      <c r="F83" s="330" t="s">
        <v>14353</v>
      </c>
      <c r="G83" s="283" t="s">
        <v>13300</v>
      </c>
      <c r="H83" s="280" t="s">
        <v>343</v>
      </c>
      <c r="I83" s="280" t="s">
        <v>85</v>
      </c>
      <c r="J83" s="280" t="s">
        <v>102</v>
      </c>
      <c r="K83" s="274" t="s">
        <v>197</v>
      </c>
      <c r="L83" s="286" t="s">
        <v>160</v>
      </c>
      <c r="M83" s="280" t="s">
        <v>13301</v>
      </c>
      <c r="N83" s="178" t="s">
        <v>13321</v>
      </c>
    </row>
    <row r="84" spans="1:14">
      <c r="A84" s="280" t="str">
        <f t="shared" si="7"/>
        <v>DefinitionsB14</v>
      </c>
      <c r="B84" s="280" t="s">
        <v>948</v>
      </c>
      <c r="C84" s="280" t="s">
        <v>960</v>
      </c>
      <c r="D84" s="280" t="s">
        <v>1011</v>
      </c>
      <c r="E84" s="246" t="s">
        <v>13400</v>
      </c>
      <c r="F84" s="330" t="s">
        <v>15355</v>
      </c>
      <c r="G84" s="283" t="s">
        <v>359</v>
      </c>
      <c r="H84" s="280" t="s">
        <v>344</v>
      </c>
      <c r="I84" s="280" t="s">
        <v>86</v>
      </c>
      <c r="J84" s="280" t="s">
        <v>103</v>
      </c>
      <c r="K84" s="274" t="s">
        <v>198</v>
      </c>
      <c r="L84" s="286" t="s">
        <v>161</v>
      </c>
      <c r="M84" s="280" t="s">
        <v>13302</v>
      </c>
      <c r="N84" s="178" t="s">
        <v>13273</v>
      </c>
    </row>
    <row r="85" spans="1:14">
      <c r="A85" s="280" t="str">
        <f t="shared" si="7"/>
        <v>DefinitionsB15</v>
      </c>
      <c r="B85" s="280" t="s">
        <v>948</v>
      </c>
      <c r="C85" s="280" t="s">
        <v>961</v>
      </c>
      <c r="D85" s="280" t="s">
        <v>1012</v>
      </c>
      <c r="E85" s="246" t="s">
        <v>1012</v>
      </c>
      <c r="F85" s="330" t="s">
        <v>1012</v>
      </c>
      <c r="G85" s="283" t="s">
        <v>1012</v>
      </c>
      <c r="H85" s="280" t="s">
        <v>1012</v>
      </c>
      <c r="I85" s="280" t="s">
        <v>1012</v>
      </c>
      <c r="J85" s="280" t="s">
        <v>1012</v>
      </c>
      <c r="K85" s="274" t="s">
        <v>1012</v>
      </c>
      <c r="L85" s="286" t="s">
        <v>1012</v>
      </c>
      <c r="M85" s="280" t="s">
        <v>1012</v>
      </c>
      <c r="N85" s="178" t="s">
        <v>13274</v>
      </c>
    </row>
    <row r="86" spans="1:14" ht="27.6">
      <c r="A86" s="280" t="str">
        <f t="shared" si="7"/>
        <v>DefinitionsB16</v>
      </c>
      <c r="B86" s="280" t="s">
        <v>948</v>
      </c>
      <c r="C86" s="280" t="s">
        <v>962</v>
      </c>
      <c r="D86" s="280" t="s">
        <v>14117</v>
      </c>
      <c r="E86" s="246" t="s">
        <v>13401</v>
      </c>
      <c r="F86" s="330" t="s">
        <v>15098</v>
      </c>
      <c r="G86" s="283" t="s">
        <v>360</v>
      </c>
      <c r="H86" s="280" t="s">
        <v>15100</v>
      </c>
      <c r="I86" s="280" t="s">
        <v>87</v>
      </c>
      <c r="J86" s="280" t="s">
        <v>15099</v>
      </c>
      <c r="K86" s="274" t="s">
        <v>199</v>
      </c>
      <c r="L86" s="286" t="s">
        <v>1014</v>
      </c>
      <c r="M86" s="280" t="s">
        <v>13303</v>
      </c>
      <c r="N86" s="178" t="s">
        <v>13275</v>
      </c>
    </row>
    <row r="87" spans="1:14">
      <c r="A87" s="280" t="str">
        <f t="shared" si="7"/>
        <v>DefinitionsB17</v>
      </c>
      <c r="B87" s="280" t="s">
        <v>948</v>
      </c>
      <c r="C87" s="280" t="s">
        <v>963</v>
      </c>
      <c r="D87" s="280" t="s">
        <v>1016</v>
      </c>
      <c r="E87" s="246" t="s">
        <v>13304</v>
      </c>
      <c r="F87" s="330" t="s">
        <v>14354</v>
      </c>
      <c r="G87" s="283" t="s">
        <v>13305</v>
      </c>
      <c r="H87" s="280" t="s">
        <v>345</v>
      </c>
      <c r="I87" s="280" t="s">
        <v>88</v>
      </c>
      <c r="J87" s="280" t="s">
        <v>104</v>
      </c>
      <c r="K87" s="274" t="s">
        <v>200</v>
      </c>
      <c r="L87" s="286" t="s">
        <v>162</v>
      </c>
      <c r="M87" s="280" t="s">
        <v>13306</v>
      </c>
      <c r="N87" s="178" t="s">
        <v>13276</v>
      </c>
    </row>
    <row r="88" spans="1:14">
      <c r="A88" s="280" t="str">
        <f t="shared" si="7"/>
        <v>DefinitionsB18</v>
      </c>
      <c r="B88" s="280" t="s">
        <v>948</v>
      </c>
      <c r="C88" s="280" t="s">
        <v>964</v>
      </c>
      <c r="D88" s="280" t="s">
        <v>567</v>
      </c>
      <c r="E88" s="246" t="s">
        <v>13307</v>
      </c>
      <c r="F88" s="330" t="s">
        <v>14355</v>
      </c>
      <c r="G88" s="283" t="s">
        <v>13308</v>
      </c>
      <c r="H88" s="280" t="s">
        <v>346</v>
      </c>
      <c r="I88" s="280" t="s">
        <v>89</v>
      </c>
      <c r="J88" s="280" t="s">
        <v>105</v>
      </c>
      <c r="K88" s="274" t="s">
        <v>201</v>
      </c>
      <c r="L88" s="286" t="s">
        <v>163</v>
      </c>
      <c r="M88" s="280" t="s">
        <v>13309</v>
      </c>
      <c r="N88" s="178" t="s">
        <v>13277</v>
      </c>
    </row>
    <row r="89" spans="1:14" ht="27.6">
      <c r="A89" s="280" t="str">
        <f t="shared" si="7"/>
        <v>DefinitionsB19</v>
      </c>
      <c r="B89" s="280" t="s">
        <v>948</v>
      </c>
      <c r="C89" s="280" t="s">
        <v>965</v>
      </c>
      <c r="D89" s="280" t="s">
        <v>857</v>
      </c>
      <c r="E89" s="246" t="s">
        <v>13402</v>
      </c>
      <c r="F89" s="330" t="s">
        <v>14356</v>
      </c>
      <c r="G89" s="283" t="s">
        <v>857</v>
      </c>
      <c r="H89" s="280" t="s">
        <v>1057</v>
      </c>
      <c r="I89" s="280" t="s">
        <v>1057</v>
      </c>
      <c r="J89" s="280" t="s">
        <v>857</v>
      </c>
      <c r="K89" s="274" t="s">
        <v>857</v>
      </c>
      <c r="L89" s="286" t="s">
        <v>857</v>
      </c>
      <c r="M89" s="280" t="s">
        <v>857</v>
      </c>
      <c r="N89" s="178" t="s">
        <v>13278</v>
      </c>
    </row>
    <row r="90" spans="1:14">
      <c r="A90" s="280" t="str">
        <f t="shared" si="7"/>
        <v>DefinitionsB20</v>
      </c>
      <c r="B90" s="280" t="s">
        <v>948</v>
      </c>
      <c r="C90" s="280" t="s">
        <v>966</v>
      </c>
      <c r="D90" s="280" t="s">
        <v>946</v>
      </c>
      <c r="E90" s="246" t="s">
        <v>1058</v>
      </c>
      <c r="F90" s="330" t="s">
        <v>14357</v>
      </c>
      <c r="G90" s="283" t="s">
        <v>1059</v>
      </c>
      <c r="H90" s="280" t="s">
        <v>1060</v>
      </c>
      <c r="I90" s="280" t="s">
        <v>1061</v>
      </c>
      <c r="J90" s="280" t="s">
        <v>1062</v>
      </c>
      <c r="K90" s="274" t="s">
        <v>1127</v>
      </c>
      <c r="L90" s="286" t="s">
        <v>599</v>
      </c>
      <c r="M90" s="280" t="s">
        <v>13310</v>
      </c>
      <c r="N90" s="178" t="s">
        <v>13280</v>
      </c>
    </row>
    <row r="91" spans="1:14">
      <c r="A91" s="280" t="str">
        <f t="shared" si="7"/>
        <v>DefinitionsB21</v>
      </c>
      <c r="B91" s="280" t="s">
        <v>948</v>
      </c>
      <c r="C91" s="280" t="s">
        <v>967</v>
      </c>
      <c r="D91" s="280" t="s">
        <v>13246</v>
      </c>
      <c r="E91" s="275" t="s">
        <v>13403</v>
      </c>
      <c r="F91" s="330" t="s">
        <v>13246</v>
      </c>
      <c r="G91" s="283" t="s">
        <v>13246</v>
      </c>
      <c r="H91" s="280" t="s">
        <v>13246</v>
      </c>
      <c r="I91" s="280" t="s">
        <v>13246</v>
      </c>
      <c r="J91" s="280" t="s">
        <v>13246</v>
      </c>
      <c r="K91" s="274" t="s">
        <v>13246</v>
      </c>
      <c r="L91" s="286" t="s">
        <v>13246</v>
      </c>
      <c r="M91" s="280" t="s">
        <v>13246</v>
      </c>
      <c r="N91" s="178" t="s">
        <v>13245</v>
      </c>
    </row>
    <row r="92" spans="1:14" ht="27.6">
      <c r="A92" s="280" t="str">
        <f t="shared" si="7"/>
        <v>DefinitionsB22</v>
      </c>
      <c r="B92" s="280" t="s">
        <v>948</v>
      </c>
      <c r="C92" s="280" t="s">
        <v>968</v>
      </c>
      <c r="D92" s="280" t="s">
        <v>571</v>
      </c>
      <c r="E92" s="246" t="s">
        <v>13311</v>
      </c>
      <c r="F92" s="330" t="s">
        <v>14358</v>
      </c>
      <c r="G92" s="283" t="s">
        <v>15284</v>
      </c>
      <c r="H92" s="280" t="s">
        <v>347</v>
      </c>
      <c r="I92" s="280" t="s">
        <v>90</v>
      </c>
      <c r="J92" s="280" t="s">
        <v>1345</v>
      </c>
      <c r="K92" s="274" t="s">
        <v>202</v>
      </c>
      <c r="L92" s="286" t="s">
        <v>600</v>
      </c>
      <c r="M92" s="280" t="s">
        <v>13312</v>
      </c>
      <c r="N92" s="178" t="s">
        <v>13284</v>
      </c>
    </row>
    <row r="93" spans="1:14" ht="27.6">
      <c r="A93" s="280" t="str">
        <f t="shared" si="7"/>
        <v>DefinitionsB23</v>
      </c>
      <c r="B93" s="280" t="s">
        <v>948</v>
      </c>
      <c r="C93" s="280" t="s">
        <v>969</v>
      </c>
      <c r="D93" s="280" t="s">
        <v>13241</v>
      </c>
      <c r="E93" s="246" t="s">
        <v>13404</v>
      </c>
      <c r="F93" s="330" t="s">
        <v>14359</v>
      </c>
      <c r="G93" s="283" t="s">
        <v>14496</v>
      </c>
      <c r="H93" s="280" t="s">
        <v>13322</v>
      </c>
      <c r="I93" s="280" t="s">
        <v>13323</v>
      </c>
      <c r="J93" s="280" t="s">
        <v>13241</v>
      </c>
      <c r="K93" s="274" t="s">
        <v>13367</v>
      </c>
      <c r="L93" s="292" t="s">
        <v>13241</v>
      </c>
      <c r="M93" s="280" t="s">
        <v>13514</v>
      </c>
      <c r="N93" s="178" t="s">
        <v>13353</v>
      </c>
    </row>
    <row r="94" spans="1:14" ht="27.6">
      <c r="A94" s="280" t="str">
        <f t="shared" si="7"/>
        <v>DefinitionsB24</v>
      </c>
      <c r="B94" s="280" t="s">
        <v>948</v>
      </c>
      <c r="C94" s="280" t="s">
        <v>996</v>
      </c>
      <c r="D94" s="280" t="s">
        <v>13242</v>
      </c>
      <c r="E94" s="246" t="s">
        <v>13405</v>
      </c>
      <c r="F94" s="330" t="s">
        <v>14360</v>
      </c>
      <c r="G94" s="283" t="s">
        <v>14497</v>
      </c>
      <c r="H94" s="280" t="s">
        <v>341</v>
      </c>
      <c r="I94" s="280" t="s">
        <v>13242</v>
      </c>
      <c r="J94" s="280" t="s">
        <v>13242</v>
      </c>
      <c r="K94" s="274" t="s">
        <v>13368</v>
      </c>
      <c r="L94" s="286" t="s">
        <v>13530</v>
      </c>
      <c r="M94" s="280" t="s">
        <v>13515</v>
      </c>
      <c r="N94" s="178" t="s">
        <v>15645</v>
      </c>
    </row>
    <row r="95" spans="1:14" ht="101.7" customHeight="1">
      <c r="A95" s="280" t="str">
        <f t="shared" si="7"/>
        <v>DefinitionsB25</v>
      </c>
      <c r="B95" s="280" t="s">
        <v>948</v>
      </c>
      <c r="C95" s="280" t="s">
        <v>476</v>
      </c>
      <c r="D95" s="280" t="s">
        <v>13240</v>
      </c>
      <c r="E95" s="246" t="s">
        <v>13406</v>
      </c>
      <c r="F95" s="330" t="s">
        <v>14361</v>
      </c>
      <c r="G95" s="283" t="s">
        <v>14498</v>
      </c>
      <c r="H95" s="165" t="s">
        <v>13324</v>
      </c>
      <c r="I95" s="280" t="s">
        <v>13325</v>
      </c>
      <c r="J95" s="280" t="s">
        <v>13550</v>
      </c>
      <c r="K95" s="274" t="s">
        <v>13369</v>
      </c>
      <c r="L95" s="286" t="s">
        <v>594</v>
      </c>
      <c r="M95" s="280" t="s">
        <v>13326</v>
      </c>
      <c r="N95" s="282" t="s">
        <v>15646</v>
      </c>
    </row>
    <row r="96" spans="1:14">
      <c r="A96" s="280" t="str">
        <f t="shared" si="7"/>
        <v>DefinitionsB26</v>
      </c>
      <c r="B96" s="280" t="s">
        <v>948</v>
      </c>
      <c r="C96" s="280" t="s">
        <v>572</v>
      </c>
      <c r="D96" s="280" t="s">
        <v>856</v>
      </c>
      <c r="E96" s="246" t="s">
        <v>13407</v>
      </c>
      <c r="F96" s="330" t="s">
        <v>14362</v>
      </c>
      <c r="G96" s="283" t="s">
        <v>1063</v>
      </c>
      <c r="H96" s="280" t="s">
        <v>856</v>
      </c>
      <c r="I96" s="280" t="s">
        <v>856</v>
      </c>
      <c r="J96" s="280" t="s">
        <v>856</v>
      </c>
      <c r="K96" s="274" t="s">
        <v>856</v>
      </c>
      <c r="L96" s="286" t="s">
        <v>856</v>
      </c>
      <c r="M96" s="280" t="s">
        <v>856</v>
      </c>
      <c r="N96" s="178" t="s">
        <v>13287</v>
      </c>
    </row>
    <row r="97" spans="1:14" ht="27.6">
      <c r="A97" s="280" t="str">
        <f t="shared" si="7"/>
        <v>DefinitionsB27</v>
      </c>
      <c r="B97" s="280" t="s">
        <v>948</v>
      </c>
      <c r="C97" s="280" t="s">
        <v>575</v>
      </c>
      <c r="D97" s="280" t="s">
        <v>1089</v>
      </c>
      <c r="E97" s="246" t="s">
        <v>1064</v>
      </c>
      <c r="F97" s="330" t="s">
        <v>14363</v>
      </c>
      <c r="G97" s="283" t="s">
        <v>1065</v>
      </c>
      <c r="H97" s="280" t="s">
        <v>1066</v>
      </c>
      <c r="I97" s="280" t="s">
        <v>1067</v>
      </c>
      <c r="J97" s="280" t="s">
        <v>1068</v>
      </c>
      <c r="K97" s="274" t="s">
        <v>1128</v>
      </c>
      <c r="L97" s="286" t="s">
        <v>601</v>
      </c>
      <c r="M97" s="280" t="s">
        <v>13313</v>
      </c>
      <c r="N97" s="178" t="s">
        <v>13327</v>
      </c>
    </row>
    <row r="98" spans="1:14">
      <c r="A98" s="280" t="str">
        <f t="shared" si="7"/>
        <v>DefinitionsB28</v>
      </c>
      <c r="B98" s="280" t="s">
        <v>948</v>
      </c>
      <c r="C98" s="280" t="s">
        <v>578</v>
      </c>
      <c r="D98" s="280" t="s">
        <v>583</v>
      </c>
      <c r="E98" s="246" t="s">
        <v>13314</v>
      </c>
      <c r="F98" s="330" t="s">
        <v>14364</v>
      </c>
      <c r="G98" s="283" t="s">
        <v>361</v>
      </c>
      <c r="H98" s="280" t="s">
        <v>348</v>
      </c>
      <c r="I98" s="280" t="s">
        <v>91</v>
      </c>
      <c r="J98" s="280" t="s">
        <v>106</v>
      </c>
      <c r="K98" s="274" t="s">
        <v>203</v>
      </c>
      <c r="L98" s="286" t="s">
        <v>164</v>
      </c>
      <c r="M98" s="280" t="s">
        <v>13315</v>
      </c>
      <c r="N98" s="178" t="s">
        <v>13338</v>
      </c>
    </row>
    <row r="99" spans="1:14" ht="27.6">
      <c r="A99" s="280" t="str">
        <f t="shared" si="7"/>
        <v>DefinitionsB29</v>
      </c>
      <c r="B99" s="280" t="s">
        <v>948</v>
      </c>
      <c r="C99" s="280" t="s">
        <v>581</v>
      </c>
      <c r="D99" s="280" t="s">
        <v>584</v>
      </c>
      <c r="E99" s="246" t="s">
        <v>13408</v>
      </c>
      <c r="F99" s="330" t="s">
        <v>14365</v>
      </c>
      <c r="G99" s="283" t="s">
        <v>362</v>
      </c>
      <c r="H99" s="280" t="s">
        <v>1069</v>
      </c>
      <c r="I99" s="280" t="s">
        <v>92</v>
      </c>
      <c r="J99" s="280" t="s">
        <v>107</v>
      </c>
      <c r="K99" s="274" t="s">
        <v>204</v>
      </c>
      <c r="L99" s="286" t="s">
        <v>602</v>
      </c>
      <c r="M99" s="280" t="s">
        <v>13316</v>
      </c>
      <c r="N99" s="178" t="s">
        <v>13339</v>
      </c>
    </row>
    <row r="100" spans="1:14" ht="27.6">
      <c r="A100" s="280" t="str">
        <f t="shared" si="7"/>
        <v>DefinitionsB30</v>
      </c>
      <c r="B100" s="280" t="s">
        <v>948</v>
      </c>
      <c r="C100" s="280" t="s">
        <v>585</v>
      </c>
      <c r="D100" s="280" t="s">
        <v>587</v>
      </c>
      <c r="E100" s="246" t="s">
        <v>13409</v>
      </c>
      <c r="F100" s="330" t="s">
        <v>14366</v>
      </c>
      <c r="G100" s="283" t="s">
        <v>363</v>
      </c>
      <c r="H100" s="280" t="s">
        <v>1070</v>
      </c>
      <c r="I100" s="280" t="s">
        <v>93</v>
      </c>
      <c r="J100" s="280" t="s">
        <v>108</v>
      </c>
      <c r="K100" s="274" t="s">
        <v>205</v>
      </c>
      <c r="L100" s="286" t="s">
        <v>603</v>
      </c>
      <c r="M100" s="280" t="s">
        <v>13317</v>
      </c>
      <c r="N100" s="178" t="s">
        <v>13340</v>
      </c>
    </row>
    <row r="101" spans="1:14" ht="27.6">
      <c r="A101" s="280" t="str">
        <f t="shared" si="7"/>
        <v>DefinitionsB31</v>
      </c>
      <c r="B101" s="280" t="s">
        <v>948</v>
      </c>
      <c r="C101" s="280" t="s">
        <v>477</v>
      </c>
      <c r="D101" s="280" t="s">
        <v>588</v>
      </c>
      <c r="E101" s="246" t="s">
        <v>13410</v>
      </c>
      <c r="F101" s="330" t="s">
        <v>14367</v>
      </c>
      <c r="G101" s="283" t="s">
        <v>364</v>
      </c>
      <c r="H101" s="280" t="s">
        <v>1071</v>
      </c>
      <c r="I101" s="280" t="s">
        <v>94</v>
      </c>
      <c r="J101" s="280" t="s">
        <v>109</v>
      </c>
      <c r="K101" s="274" t="s">
        <v>206</v>
      </c>
      <c r="L101" s="286" t="s">
        <v>604</v>
      </c>
      <c r="M101" s="280" t="s">
        <v>13318</v>
      </c>
    </row>
    <row r="102" spans="1:14">
      <c r="A102" s="280" t="str">
        <f t="shared" si="7"/>
        <v>DefinitionsC2</v>
      </c>
      <c r="B102" s="280" t="s">
        <v>948</v>
      </c>
      <c r="C102" s="280" t="s">
        <v>997</v>
      </c>
      <c r="D102" s="280" t="s">
        <v>1072</v>
      </c>
      <c r="E102" s="275" t="s">
        <v>15140</v>
      </c>
      <c r="F102" s="330" t="s">
        <v>14368</v>
      </c>
      <c r="G102" s="283" t="s">
        <v>869</v>
      </c>
      <c r="H102" s="280" t="s">
        <v>1072</v>
      </c>
      <c r="I102" s="280" t="s">
        <v>95</v>
      </c>
      <c r="J102" s="280" t="s">
        <v>1073</v>
      </c>
      <c r="K102" s="274" t="s">
        <v>1129</v>
      </c>
      <c r="L102" s="286" t="s">
        <v>605</v>
      </c>
      <c r="M102" s="280" t="s">
        <v>14798</v>
      </c>
    </row>
    <row r="103" spans="1:14">
      <c r="A103" s="280" t="str">
        <f t="shared" si="7"/>
        <v>DefinitionsC3</v>
      </c>
      <c r="B103" s="280" t="s">
        <v>948</v>
      </c>
      <c r="C103" s="280" t="s">
        <v>970</v>
      </c>
      <c r="D103" s="280" t="s">
        <v>1001</v>
      </c>
      <c r="E103" s="246" t="s">
        <v>13411</v>
      </c>
      <c r="F103" s="330" t="s">
        <v>14369</v>
      </c>
      <c r="G103" s="283" t="s">
        <v>365</v>
      </c>
      <c r="H103" s="280" t="s">
        <v>349</v>
      </c>
      <c r="I103" s="280" t="s">
        <v>96</v>
      </c>
      <c r="J103" s="280" t="s">
        <v>15377</v>
      </c>
      <c r="K103" s="274" t="s">
        <v>207</v>
      </c>
      <c r="L103" s="286" t="s">
        <v>165</v>
      </c>
      <c r="M103" s="280" t="s">
        <v>14799</v>
      </c>
    </row>
    <row r="104" spans="1:14" ht="82.8">
      <c r="A104" s="280" t="str">
        <f t="shared" si="7"/>
        <v>DefinitionsC4</v>
      </c>
      <c r="B104" s="280" t="s">
        <v>948</v>
      </c>
      <c r="C104" s="280" t="s">
        <v>971</v>
      </c>
      <c r="D104" s="280" t="s">
        <v>1003</v>
      </c>
      <c r="E104" s="246" t="s">
        <v>13974</v>
      </c>
      <c r="F104" s="330"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30" t="s">
        <v>15120</v>
      </c>
      <c r="G105" s="283" t="s">
        <v>14972</v>
      </c>
      <c r="H105" s="280" t="s">
        <v>14974</v>
      </c>
      <c r="I105" s="280" t="s">
        <v>14976</v>
      </c>
      <c r="J105" s="280" t="s">
        <v>14973</v>
      </c>
      <c r="K105" s="274" t="s">
        <v>14975</v>
      </c>
      <c r="L105" s="286" t="s">
        <v>14977</v>
      </c>
      <c r="M105" s="280" t="s">
        <v>14978</v>
      </c>
    </row>
    <row r="106" spans="1:14" ht="176.4">
      <c r="A106" s="280" t="str">
        <f t="shared" ref="A106:A137" si="9">B106&amp;C106</f>
        <v>DefinitionsC6</v>
      </c>
      <c r="B106" s="280" t="s">
        <v>948</v>
      </c>
      <c r="C106" s="280" t="s">
        <v>973</v>
      </c>
      <c r="D106" s="282" t="s">
        <v>1122</v>
      </c>
      <c r="E106" s="311" t="s">
        <v>13412</v>
      </c>
      <c r="F106" s="331" t="s">
        <v>14371</v>
      </c>
      <c r="G106" s="334" t="s">
        <v>14499</v>
      </c>
      <c r="H106" s="282" t="s">
        <v>14555</v>
      </c>
      <c r="I106" s="282" t="s">
        <v>14609</v>
      </c>
      <c r="J106" s="282" t="s">
        <v>1365</v>
      </c>
      <c r="K106" s="276" t="s">
        <v>14669</v>
      </c>
      <c r="L106" s="287" t="s">
        <v>14727</v>
      </c>
      <c r="M106" s="282" t="s">
        <v>14801</v>
      </c>
    </row>
    <row r="107" spans="1:14" ht="124.2">
      <c r="A107" s="280" t="str">
        <f t="shared" si="9"/>
        <v>DefinitionsC7</v>
      </c>
      <c r="B107" s="280" t="s">
        <v>948</v>
      </c>
      <c r="C107" s="280" t="s">
        <v>974</v>
      </c>
      <c r="D107" s="280" t="s">
        <v>1005</v>
      </c>
      <c r="E107" s="246" t="s">
        <v>13413</v>
      </c>
      <c r="F107" s="330" t="s">
        <v>15121</v>
      </c>
      <c r="G107" s="283" t="s">
        <v>366</v>
      </c>
      <c r="H107" s="280" t="s">
        <v>14556</v>
      </c>
      <c r="I107" s="280" t="s">
        <v>98</v>
      </c>
      <c r="J107" s="280" t="s">
        <v>1366</v>
      </c>
      <c r="K107" s="274" t="s">
        <v>319</v>
      </c>
      <c r="L107" s="286" t="s">
        <v>13531</v>
      </c>
      <c r="M107" s="280" t="s">
        <v>13268</v>
      </c>
    </row>
    <row r="108" spans="1:14" ht="151.80000000000001">
      <c r="A108" s="280" t="str">
        <f t="shared" si="9"/>
        <v>DefinitionsC8</v>
      </c>
      <c r="B108" s="280" t="s">
        <v>948</v>
      </c>
      <c r="C108" s="280" t="s">
        <v>975</v>
      </c>
      <c r="D108" s="280" t="s">
        <v>1007</v>
      </c>
      <c r="E108" s="246" t="s">
        <v>13414</v>
      </c>
      <c r="F108" s="330" t="s">
        <v>14372</v>
      </c>
      <c r="G108" s="283" t="s">
        <v>15286</v>
      </c>
      <c r="H108" s="165" t="s">
        <v>277</v>
      </c>
      <c r="I108" s="280" t="s">
        <v>99</v>
      </c>
      <c r="J108" s="280" t="s">
        <v>1367</v>
      </c>
      <c r="K108" s="274" t="s">
        <v>320</v>
      </c>
      <c r="L108" s="286" t="s">
        <v>167</v>
      </c>
      <c r="M108" s="280" t="s">
        <v>13269</v>
      </c>
    </row>
    <row r="109" spans="1:14" ht="69">
      <c r="A109" s="280" t="str">
        <f t="shared" si="9"/>
        <v>DefinitionsC9</v>
      </c>
      <c r="B109" s="280" t="s">
        <v>948</v>
      </c>
      <c r="C109" s="280" t="s">
        <v>976</v>
      </c>
      <c r="D109" s="280" t="s">
        <v>945</v>
      </c>
      <c r="E109" s="246" t="s">
        <v>13415</v>
      </c>
      <c r="F109" s="330" t="s">
        <v>14373</v>
      </c>
      <c r="G109" s="283" t="s">
        <v>14500</v>
      </c>
      <c r="H109" s="280" t="s">
        <v>14557</v>
      </c>
      <c r="I109" s="280" t="s">
        <v>14610</v>
      </c>
      <c r="J109" s="280" t="s">
        <v>1074</v>
      </c>
      <c r="K109" s="274" t="s">
        <v>321</v>
      </c>
      <c r="L109" s="286" t="s">
        <v>606</v>
      </c>
      <c r="M109" s="280" t="s">
        <v>13270</v>
      </c>
    </row>
    <row r="110" spans="1:14">
      <c r="A110" s="280" t="str">
        <f t="shared" si="9"/>
        <v>DefinitionsC10</v>
      </c>
      <c r="B110" s="280" t="s">
        <v>948</v>
      </c>
      <c r="C110" s="280" t="s">
        <v>977</v>
      </c>
      <c r="D110" s="280" t="s">
        <v>1222</v>
      </c>
      <c r="E110" s="246" t="s">
        <v>865</v>
      </c>
      <c r="F110" s="330" t="s">
        <v>14374</v>
      </c>
      <c r="G110" s="283" t="s">
        <v>1075</v>
      </c>
      <c r="H110" s="280" t="s">
        <v>1076</v>
      </c>
      <c r="I110" s="280" t="s">
        <v>1077</v>
      </c>
      <c r="J110" s="280" t="s">
        <v>1078</v>
      </c>
      <c r="K110" s="274" t="s">
        <v>322</v>
      </c>
      <c r="L110" s="286" t="s">
        <v>607</v>
      </c>
      <c r="M110" s="280" t="s">
        <v>13271</v>
      </c>
    </row>
    <row r="111" spans="1:14" ht="138">
      <c r="A111" s="280" t="str">
        <f t="shared" si="9"/>
        <v>DefinitionsC11</v>
      </c>
      <c r="B111" s="280" t="s">
        <v>948</v>
      </c>
      <c r="C111" s="280" t="s">
        <v>978</v>
      </c>
      <c r="D111" s="280" t="s">
        <v>1008</v>
      </c>
      <c r="E111" s="312" t="s">
        <v>13416</v>
      </c>
      <c r="F111" s="330" t="s">
        <v>14375</v>
      </c>
      <c r="G111" s="283" t="s">
        <v>14501</v>
      </c>
      <c r="H111" s="280" t="s">
        <v>14558</v>
      </c>
      <c r="I111" s="280" t="s">
        <v>14611</v>
      </c>
      <c r="J111" s="280" t="s">
        <v>1368</v>
      </c>
      <c r="K111" s="274" t="s">
        <v>323</v>
      </c>
      <c r="L111" s="286" t="s">
        <v>13532</v>
      </c>
      <c r="M111" s="280" t="s">
        <v>13272</v>
      </c>
    </row>
    <row r="112" spans="1:14" ht="110.4">
      <c r="A112" s="280" t="str">
        <f t="shared" si="9"/>
        <v>DefinitionsC12</v>
      </c>
      <c r="B112" s="280" t="s">
        <v>948</v>
      </c>
      <c r="C112" s="280" t="s">
        <v>979</v>
      </c>
      <c r="D112" s="280" t="s">
        <v>13247</v>
      </c>
      <c r="E112" s="312" t="s">
        <v>13417</v>
      </c>
      <c r="F112" s="330" t="s">
        <v>14376</v>
      </c>
      <c r="G112" s="283" t="s">
        <v>13328</v>
      </c>
      <c r="H112" s="280" t="s">
        <v>13329</v>
      </c>
      <c r="I112" s="280" t="s">
        <v>14612</v>
      </c>
      <c r="J112" s="280" t="s">
        <v>13551</v>
      </c>
      <c r="K112" s="274" t="s">
        <v>13330</v>
      </c>
      <c r="L112" s="286" t="s">
        <v>13331</v>
      </c>
      <c r="M112" s="280" t="s">
        <v>13332</v>
      </c>
    </row>
    <row r="113" spans="1:13" ht="138">
      <c r="A113" s="280" t="str">
        <f t="shared" si="9"/>
        <v>DefinitionsC13</v>
      </c>
      <c r="B113" s="280" t="s">
        <v>948</v>
      </c>
      <c r="C113" s="280" t="s">
        <v>980</v>
      </c>
      <c r="D113" s="280" t="s">
        <v>13248</v>
      </c>
      <c r="E113" s="312" t="s">
        <v>13418</v>
      </c>
      <c r="F113" s="330" t="s">
        <v>14377</v>
      </c>
      <c r="G113" s="283" t="s">
        <v>13333</v>
      </c>
      <c r="H113" s="165" t="s">
        <v>13334</v>
      </c>
      <c r="I113" s="280" t="s">
        <v>13335</v>
      </c>
      <c r="J113" s="280" t="s">
        <v>15378</v>
      </c>
      <c r="K113" s="274" t="s">
        <v>13336</v>
      </c>
      <c r="L113" s="286" t="s">
        <v>13533</v>
      </c>
      <c r="M113" s="280" t="s">
        <v>13321</v>
      </c>
    </row>
    <row r="114" spans="1:13" ht="409.6">
      <c r="A114" s="280" t="str">
        <f t="shared" si="9"/>
        <v>DefinitionsC14</v>
      </c>
      <c r="B114" s="280" t="s">
        <v>948</v>
      </c>
      <c r="C114" s="280" t="s">
        <v>981</v>
      </c>
      <c r="D114" s="280" t="s">
        <v>1010</v>
      </c>
      <c r="E114" s="312" t="s">
        <v>14227</v>
      </c>
      <c r="F114" s="330" t="s">
        <v>15122</v>
      </c>
      <c r="G114" s="283" t="s">
        <v>14502</v>
      </c>
      <c r="H114" s="280" t="s">
        <v>14559</v>
      </c>
      <c r="I114" s="280" t="s">
        <v>14613</v>
      </c>
      <c r="J114" s="280" t="s">
        <v>1347</v>
      </c>
      <c r="K114" s="274" t="s">
        <v>14670</v>
      </c>
      <c r="L114" s="286" t="s">
        <v>14728</v>
      </c>
      <c r="M114" s="280" t="s">
        <v>14802</v>
      </c>
    </row>
    <row r="115" spans="1:13" ht="220.8">
      <c r="A115" s="280" t="str">
        <f t="shared" si="9"/>
        <v>DefinitionsC15</v>
      </c>
      <c r="B115" s="280" t="s">
        <v>948</v>
      </c>
      <c r="C115" s="280" t="s">
        <v>982</v>
      </c>
      <c r="D115" s="280" t="s">
        <v>1013</v>
      </c>
      <c r="E115" s="312" t="s">
        <v>13419</v>
      </c>
      <c r="F115" s="330" t="s">
        <v>14378</v>
      </c>
      <c r="G115" s="283" t="s">
        <v>541</v>
      </c>
      <c r="H115" s="280" t="s">
        <v>278</v>
      </c>
      <c r="I115" s="280" t="s">
        <v>209</v>
      </c>
      <c r="J115" s="280" t="s">
        <v>13552</v>
      </c>
      <c r="K115" s="274" t="s">
        <v>324</v>
      </c>
      <c r="L115" s="286" t="s">
        <v>168</v>
      </c>
      <c r="M115" s="280" t="s">
        <v>13274</v>
      </c>
    </row>
    <row r="116" spans="1:13" ht="110.4">
      <c r="A116" s="280" t="str">
        <f t="shared" si="9"/>
        <v>DefinitionsC16</v>
      </c>
      <c r="B116" s="280" t="s">
        <v>948</v>
      </c>
      <c r="C116" s="280" t="s">
        <v>983</v>
      </c>
      <c r="D116" s="280" t="s">
        <v>1015</v>
      </c>
      <c r="E116" s="246" t="s">
        <v>13420</v>
      </c>
      <c r="F116" s="330" t="s">
        <v>14379</v>
      </c>
      <c r="G116" s="283" t="s">
        <v>15287</v>
      </c>
      <c r="H116" s="280" t="s">
        <v>279</v>
      </c>
      <c r="I116" s="280" t="s">
        <v>210</v>
      </c>
      <c r="J116" s="280" t="s">
        <v>1348</v>
      </c>
      <c r="K116" s="274" t="s">
        <v>325</v>
      </c>
      <c r="L116" s="286" t="s">
        <v>169</v>
      </c>
      <c r="M116" s="280" t="s">
        <v>13275</v>
      </c>
    </row>
    <row r="117" spans="1:13" ht="317.39999999999998">
      <c r="A117" s="280" t="str">
        <f t="shared" si="9"/>
        <v>DefinitionsC17</v>
      </c>
      <c r="B117" s="280" t="s">
        <v>948</v>
      </c>
      <c r="C117" s="280" t="s">
        <v>984</v>
      </c>
      <c r="D117" s="280" t="s">
        <v>1017</v>
      </c>
      <c r="E117" s="312" t="s">
        <v>14228</v>
      </c>
      <c r="F117" s="330" t="s">
        <v>14380</v>
      </c>
      <c r="G117" s="283" t="s">
        <v>14503</v>
      </c>
      <c r="H117" s="280" t="s">
        <v>14560</v>
      </c>
      <c r="I117" s="280" t="s">
        <v>15264</v>
      </c>
      <c r="J117" s="280" t="s">
        <v>1349</v>
      </c>
      <c r="K117" s="274" t="s">
        <v>14671</v>
      </c>
      <c r="L117" s="286" t="s">
        <v>14729</v>
      </c>
      <c r="M117" s="280" t="s">
        <v>14803</v>
      </c>
    </row>
    <row r="118" spans="1:13" ht="207">
      <c r="A118" s="280" t="str">
        <f t="shared" si="9"/>
        <v>DefinitionsC18</v>
      </c>
      <c r="B118" s="280" t="s">
        <v>948</v>
      </c>
      <c r="C118" s="280" t="s">
        <v>985</v>
      </c>
      <c r="D118" s="280" t="s">
        <v>566</v>
      </c>
      <c r="E118" s="312" t="s">
        <v>14229</v>
      </c>
      <c r="F118" s="330" t="s">
        <v>14381</v>
      </c>
      <c r="G118" s="283" t="s">
        <v>14504</v>
      </c>
      <c r="H118" s="165" t="s">
        <v>14561</v>
      </c>
      <c r="I118" s="280" t="s">
        <v>14614</v>
      </c>
      <c r="J118" s="280" t="s">
        <v>1350</v>
      </c>
      <c r="K118" s="274" t="s">
        <v>14672</v>
      </c>
      <c r="L118" s="286" t="s">
        <v>14730</v>
      </c>
      <c r="M118" s="280" t="s">
        <v>14804</v>
      </c>
    </row>
    <row r="119" spans="1:13" ht="27.6">
      <c r="A119" s="280" t="str">
        <f t="shared" si="9"/>
        <v>DefinitionsC19</v>
      </c>
      <c r="B119" s="280" t="s">
        <v>948</v>
      </c>
      <c r="C119" s="280" t="s">
        <v>986</v>
      </c>
      <c r="D119" s="280" t="s">
        <v>568</v>
      </c>
      <c r="E119" s="246" t="s">
        <v>866</v>
      </c>
      <c r="F119" s="323" t="s">
        <v>14382</v>
      </c>
      <c r="G119" s="283" t="s">
        <v>828</v>
      </c>
      <c r="H119" s="280" t="s">
        <v>829</v>
      </c>
      <c r="I119" s="280" t="s">
        <v>211</v>
      </c>
      <c r="J119" s="280" t="s">
        <v>830</v>
      </c>
      <c r="K119" s="274" t="s">
        <v>326</v>
      </c>
      <c r="L119" s="286" t="s">
        <v>608</v>
      </c>
      <c r="M119" s="280" t="s">
        <v>13278</v>
      </c>
    </row>
    <row r="120" spans="1:13" ht="69">
      <c r="A120" s="280" t="str">
        <f t="shared" si="9"/>
        <v>DefinitionsC20</v>
      </c>
      <c r="B120" s="280" t="s">
        <v>948</v>
      </c>
      <c r="C120" s="280" t="s">
        <v>987</v>
      </c>
      <c r="D120" s="280" t="s">
        <v>947</v>
      </c>
      <c r="E120" s="246" t="s">
        <v>13279</v>
      </c>
      <c r="F120" s="323" t="s">
        <v>14383</v>
      </c>
      <c r="G120" s="283" t="s">
        <v>831</v>
      </c>
      <c r="H120" s="280" t="s">
        <v>280</v>
      </c>
      <c r="I120" s="280" t="s">
        <v>212</v>
      </c>
      <c r="J120" s="280" t="s">
        <v>832</v>
      </c>
      <c r="K120" s="274" t="s">
        <v>327</v>
      </c>
      <c r="L120" s="286" t="s">
        <v>609</v>
      </c>
      <c r="M120" s="280" t="s">
        <v>13280</v>
      </c>
    </row>
    <row r="121" spans="1:13" ht="27.6">
      <c r="A121" s="280" t="str">
        <f t="shared" si="9"/>
        <v>DefinitionsC21</v>
      </c>
      <c r="B121" s="280" t="s">
        <v>948</v>
      </c>
      <c r="C121" s="280" t="s">
        <v>988</v>
      </c>
      <c r="D121" s="280" t="s">
        <v>13245</v>
      </c>
      <c r="E121" s="246" t="s">
        <v>13421</v>
      </c>
      <c r="F121" s="323" t="s">
        <v>14384</v>
      </c>
      <c r="G121" s="283" t="s">
        <v>14505</v>
      </c>
      <c r="H121" s="280" t="s">
        <v>13245</v>
      </c>
      <c r="I121" s="280" t="s">
        <v>13245</v>
      </c>
      <c r="J121" s="280" t="s">
        <v>13245</v>
      </c>
      <c r="K121" s="274" t="s">
        <v>13245</v>
      </c>
      <c r="L121" s="286" t="s">
        <v>13245</v>
      </c>
      <c r="M121" s="280" t="s">
        <v>13245</v>
      </c>
    </row>
    <row r="122" spans="1:13" ht="151.80000000000001">
      <c r="A122" s="280" t="str">
        <f t="shared" si="9"/>
        <v>DefinitionsC22</v>
      </c>
      <c r="B122" s="280" t="s">
        <v>948</v>
      </c>
      <c r="C122" s="280" t="s">
        <v>989</v>
      </c>
      <c r="D122" s="280" t="s">
        <v>574</v>
      </c>
      <c r="E122" s="312" t="s">
        <v>13422</v>
      </c>
      <c r="F122" s="323" t="s">
        <v>14385</v>
      </c>
      <c r="G122" s="283" t="s">
        <v>13281</v>
      </c>
      <c r="H122" s="280" t="s">
        <v>13282</v>
      </c>
      <c r="I122" s="280" t="s">
        <v>213</v>
      </c>
      <c r="J122" s="280" t="s">
        <v>1351</v>
      </c>
      <c r="K122" s="274" t="s">
        <v>328</v>
      </c>
      <c r="L122" s="286" t="s">
        <v>170</v>
      </c>
      <c r="M122" s="280" t="s">
        <v>13283</v>
      </c>
    </row>
    <row r="123" spans="1:13" ht="110.4">
      <c r="A123" s="280" t="str">
        <f t="shared" si="9"/>
        <v>DefinitionsC23</v>
      </c>
      <c r="B123" s="280" t="s">
        <v>948</v>
      </c>
      <c r="C123" s="280" t="s">
        <v>990</v>
      </c>
      <c r="D123" s="280" t="s">
        <v>13244</v>
      </c>
      <c r="E123" s="246" t="s">
        <v>13423</v>
      </c>
      <c r="F123" s="330" t="s">
        <v>14386</v>
      </c>
      <c r="G123" s="283" t="s">
        <v>14506</v>
      </c>
      <c r="H123" s="280" t="s">
        <v>13522</v>
      </c>
      <c r="I123" s="280" t="s">
        <v>13563</v>
      </c>
      <c r="J123" s="280" t="s">
        <v>13553</v>
      </c>
      <c r="K123" s="274" t="s">
        <v>13370</v>
      </c>
      <c r="L123" s="286" t="s">
        <v>14731</v>
      </c>
      <c r="M123" s="280" t="s">
        <v>13516</v>
      </c>
    </row>
    <row r="124" spans="1:13" ht="276">
      <c r="A124" s="280" t="str">
        <f t="shared" si="9"/>
        <v>DefinitionsC24</v>
      </c>
      <c r="B124" s="280" t="s">
        <v>948</v>
      </c>
      <c r="C124" s="280" t="s">
        <v>569</v>
      </c>
      <c r="D124" s="280" t="s">
        <v>15080</v>
      </c>
      <c r="E124" s="312" t="s">
        <v>13424</v>
      </c>
      <c r="F124" s="330" t="s">
        <v>15101</v>
      </c>
      <c r="G124" s="283" t="s">
        <v>14507</v>
      </c>
      <c r="H124" s="280" t="s">
        <v>15647</v>
      </c>
      <c r="I124" s="280" t="s">
        <v>13564</v>
      </c>
      <c r="J124" s="280" t="s">
        <v>15102</v>
      </c>
      <c r="K124" s="274" t="s">
        <v>15103</v>
      </c>
      <c r="L124" s="286" t="s">
        <v>15104</v>
      </c>
      <c r="M124" s="280" t="s">
        <v>15105</v>
      </c>
    </row>
    <row r="125" spans="1:13" ht="234.6">
      <c r="A125" s="280" t="str">
        <f t="shared" si="9"/>
        <v>DefinitionsC25</v>
      </c>
      <c r="B125" s="280" t="s">
        <v>948</v>
      </c>
      <c r="C125" s="280" t="s">
        <v>570</v>
      </c>
      <c r="D125" s="280" t="s">
        <v>13243</v>
      </c>
      <c r="E125" s="312" t="s">
        <v>14230</v>
      </c>
      <c r="F125" s="330" t="s">
        <v>14387</v>
      </c>
      <c r="G125" s="283" t="s">
        <v>14508</v>
      </c>
      <c r="H125" s="280" t="s">
        <v>15648</v>
      </c>
      <c r="I125" s="280" t="s">
        <v>14615</v>
      </c>
      <c r="J125" s="280" t="s">
        <v>13554</v>
      </c>
      <c r="K125" s="274" t="s">
        <v>14673</v>
      </c>
      <c r="L125" s="286" t="s">
        <v>14732</v>
      </c>
      <c r="M125" s="280" t="s">
        <v>14805</v>
      </c>
    </row>
    <row r="126" spans="1:13" ht="27.6">
      <c r="A126" s="280" t="str">
        <f t="shared" si="9"/>
        <v>DefinitionsC26</v>
      </c>
      <c r="B126" s="280" t="s">
        <v>948</v>
      </c>
      <c r="C126" s="280" t="s">
        <v>573</v>
      </c>
      <c r="D126" s="280" t="s">
        <v>577</v>
      </c>
      <c r="E126" s="246" t="s">
        <v>13425</v>
      </c>
      <c r="F126" s="330" t="s">
        <v>14388</v>
      </c>
      <c r="G126" s="283" t="s">
        <v>1079</v>
      </c>
      <c r="H126" s="280" t="s">
        <v>577</v>
      </c>
      <c r="I126" s="280" t="s">
        <v>214</v>
      </c>
      <c r="J126" s="280" t="s">
        <v>577</v>
      </c>
      <c r="K126" s="274" t="s">
        <v>577</v>
      </c>
      <c r="L126" s="286" t="s">
        <v>577</v>
      </c>
      <c r="M126" s="280" t="s">
        <v>13284</v>
      </c>
    </row>
    <row r="127" spans="1:13" ht="138">
      <c r="A127" s="280" t="str">
        <f t="shared" si="9"/>
        <v>DefinitionsC27</v>
      </c>
      <c r="B127" s="280" t="s">
        <v>948</v>
      </c>
      <c r="C127" s="280" t="s">
        <v>576</v>
      </c>
      <c r="D127" s="280" t="s">
        <v>580</v>
      </c>
      <c r="E127" s="312" t="s">
        <v>13426</v>
      </c>
      <c r="F127" s="330" t="s">
        <v>14389</v>
      </c>
      <c r="G127" s="283" t="s">
        <v>13285</v>
      </c>
      <c r="H127" s="280" t="s">
        <v>13286</v>
      </c>
      <c r="I127" s="280" t="s">
        <v>215</v>
      </c>
      <c r="J127" s="280" t="s">
        <v>1369</v>
      </c>
      <c r="K127" s="274" t="s">
        <v>329</v>
      </c>
      <c r="L127" s="286" t="s">
        <v>171</v>
      </c>
      <c r="M127" s="280" t="s">
        <v>13287</v>
      </c>
    </row>
    <row r="128" spans="1:13" ht="82.8">
      <c r="A128" s="280" t="str">
        <f t="shared" si="9"/>
        <v>DefinitionsC28</v>
      </c>
      <c r="B128" s="280" t="s">
        <v>948</v>
      </c>
      <c r="C128" s="280" t="s">
        <v>579</v>
      </c>
      <c r="D128" s="280" t="s">
        <v>13249</v>
      </c>
      <c r="E128" s="246" t="s">
        <v>13427</v>
      </c>
      <c r="F128" s="330" t="s">
        <v>14390</v>
      </c>
      <c r="G128" s="283" t="s">
        <v>14509</v>
      </c>
      <c r="H128" s="280" t="s">
        <v>13523</v>
      </c>
      <c r="I128" s="280" t="s">
        <v>15081</v>
      </c>
      <c r="J128" s="280" t="s">
        <v>13555</v>
      </c>
      <c r="K128" s="274" t="s">
        <v>13371</v>
      </c>
      <c r="L128" s="286" t="s">
        <v>13534</v>
      </c>
      <c r="M128" s="280" t="s">
        <v>13517</v>
      </c>
    </row>
    <row r="129" spans="1:13" ht="207">
      <c r="A129" s="280" t="str">
        <f t="shared" si="9"/>
        <v>DefinitionsC29</v>
      </c>
      <c r="B129" s="280" t="s">
        <v>948</v>
      </c>
      <c r="C129" s="280" t="s">
        <v>582</v>
      </c>
      <c r="D129" s="280" t="s">
        <v>13250</v>
      </c>
      <c r="E129" s="312" t="s">
        <v>13428</v>
      </c>
      <c r="F129" s="330" t="s">
        <v>14391</v>
      </c>
      <c r="G129" s="283" t="s">
        <v>13341</v>
      </c>
      <c r="H129" s="280" t="s">
        <v>13342</v>
      </c>
      <c r="I129" s="280" t="s">
        <v>13343</v>
      </c>
      <c r="J129" s="280" t="s">
        <v>15379</v>
      </c>
      <c r="K129" s="274" t="s">
        <v>13344</v>
      </c>
      <c r="L129" s="286" t="s">
        <v>13345</v>
      </c>
      <c r="M129" s="280" t="s">
        <v>13338</v>
      </c>
    </row>
    <row r="130" spans="1:13" ht="193.2">
      <c r="A130" s="280" t="str">
        <f t="shared" si="9"/>
        <v>DefinitionsC30</v>
      </c>
      <c r="B130" s="280" t="s">
        <v>948</v>
      </c>
      <c r="C130" s="280" t="s">
        <v>586</v>
      </c>
      <c r="D130" s="280" t="s">
        <v>13251</v>
      </c>
      <c r="E130" s="312" t="s">
        <v>14231</v>
      </c>
      <c r="F130" s="330" t="s">
        <v>14392</v>
      </c>
      <c r="G130" s="283" t="s">
        <v>14510</v>
      </c>
      <c r="H130" s="165" t="s">
        <v>13346</v>
      </c>
      <c r="I130" s="280" t="s">
        <v>14616</v>
      </c>
      <c r="J130" s="280" t="s">
        <v>15380</v>
      </c>
      <c r="K130" s="274" t="s">
        <v>13347</v>
      </c>
      <c r="L130" s="286" t="s">
        <v>13348</v>
      </c>
      <c r="M130" s="280" t="s">
        <v>13339</v>
      </c>
    </row>
    <row r="131" spans="1:13" ht="179.4">
      <c r="A131" s="280" t="str">
        <f t="shared" si="9"/>
        <v>DefinitionsC31</v>
      </c>
      <c r="B131" s="280" t="s">
        <v>948</v>
      </c>
      <c r="C131" s="280" t="s">
        <v>14095</v>
      </c>
      <c r="D131" s="280" t="s">
        <v>13252</v>
      </c>
      <c r="E131" s="312" t="s">
        <v>13429</v>
      </c>
      <c r="F131" s="330"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30" t="s">
        <v>409</v>
      </c>
      <c r="G132" s="283" t="s">
        <v>409</v>
      </c>
      <c r="H132" s="280" t="s">
        <v>409</v>
      </c>
      <c r="I132" s="280" t="s">
        <v>409</v>
      </c>
      <c r="J132" s="280" t="s">
        <v>409</v>
      </c>
      <c r="K132" s="283" t="s">
        <v>409</v>
      </c>
      <c r="L132" s="286" t="s">
        <v>409</v>
      </c>
      <c r="M132" s="197" t="s">
        <v>409</v>
      </c>
    </row>
    <row r="133" spans="1:13" ht="27.6">
      <c r="A133" s="280" t="str">
        <f t="shared" si="9"/>
        <v>DeclarationF3</v>
      </c>
      <c r="B133" s="280" t="s">
        <v>991</v>
      </c>
      <c r="C133" s="280" t="s">
        <v>1860</v>
      </c>
      <c r="D133" s="280" t="s">
        <v>1861</v>
      </c>
      <c r="E133" s="246" t="s">
        <v>13430</v>
      </c>
      <c r="F133" s="330" t="s">
        <v>1871</v>
      </c>
      <c r="G133" s="283" t="s">
        <v>1872</v>
      </c>
      <c r="H133" s="280" t="s">
        <v>1873</v>
      </c>
      <c r="I133" s="280" t="s">
        <v>1874</v>
      </c>
      <c r="J133" s="280" t="s">
        <v>1875</v>
      </c>
      <c r="K133" s="283" t="s">
        <v>1876</v>
      </c>
      <c r="L133" s="292" t="s">
        <v>1877</v>
      </c>
      <c r="M133" s="280" t="s">
        <v>14806</v>
      </c>
    </row>
    <row r="134" spans="1:13" ht="27.6">
      <c r="A134" s="280" t="str">
        <f t="shared" si="9"/>
        <v>DeclarationI3</v>
      </c>
      <c r="B134" s="280" t="s">
        <v>991</v>
      </c>
      <c r="C134" s="280" t="s">
        <v>1862</v>
      </c>
      <c r="D134" s="280" t="s">
        <v>1863</v>
      </c>
      <c r="E134" s="246" t="s">
        <v>13431</v>
      </c>
      <c r="F134" s="330"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30" t="s">
        <v>1885</v>
      </c>
      <c r="G135" s="283" t="s">
        <v>1886</v>
      </c>
      <c r="H135" s="280" t="s">
        <v>1887</v>
      </c>
      <c r="I135" s="280" t="s">
        <v>1888</v>
      </c>
      <c r="J135" s="280" t="s">
        <v>1889</v>
      </c>
      <c r="K135" s="283" t="s">
        <v>1890</v>
      </c>
      <c r="L135" s="292" t="s">
        <v>1891</v>
      </c>
      <c r="M135" s="280" t="s">
        <v>14808</v>
      </c>
    </row>
    <row r="136" spans="1:13" ht="41.4">
      <c r="A136" s="280" t="str">
        <f t="shared" si="9"/>
        <v>DeclarationB4</v>
      </c>
      <c r="B136" s="280" t="s">
        <v>991</v>
      </c>
      <c r="C136" s="280" t="s">
        <v>950</v>
      </c>
      <c r="D136" s="280" t="s">
        <v>840</v>
      </c>
      <c r="E136" s="312" t="s">
        <v>13432</v>
      </c>
      <c r="F136" s="330" t="s">
        <v>14394</v>
      </c>
      <c r="G136" s="283" t="s">
        <v>870</v>
      </c>
      <c r="H136" s="280" t="s">
        <v>367</v>
      </c>
      <c r="I136" s="280" t="s">
        <v>216</v>
      </c>
      <c r="J136" s="280" t="s">
        <v>1352</v>
      </c>
      <c r="K136" s="274" t="s">
        <v>330</v>
      </c>
      <c r="L136" s="286" t="s">
        <v>444</v>
      </c>
      <c r="M136" s="280" t="s">
        <v>14809</v>
      </c>
    </row>
    <row r="137" spans="1:13" ht="43.2">
      <c r="A137" s="280" t="str">
        <f t="shared" si="9"/>
        <v>DeclarationB6</v>
      </c>
      <c r="B137" s="280" t="s">
        <v>991</v>
      </c>
      <c r="C137" s="280" t="s">
        <v>952</v>
      </c>
      <c r="D137" s="280" t="s">
        <v>12471</v>
      </c>
      <c r="E137" s="280" t="s">
        <v>14232</v>
      </c>
      <c r="F137" s="325" t="s">
        <v>14395</v>
      </c>
      <c r="G137" s="336" t="s">
        <v>14512</v>
      </c>
      <c r="H137" s="277" t="s">
        <v>14562</v>
      </c>
      <c r="I137" s="288" t="s">
        <v>14617</v>
      </c>
      <c r="J137" s="288" t="s">
        <v>14952</v>
      </c>
      <c r="K137" s="289" t="s">
        <v>14674</v>
      </c>
      <c r="L137" s="290" t="s">
        <v>13535</v>
      </c>
      <c r="M137" s="288" t="s">
        <v>14810</v>
      </c>
    </row>
    <row r="138" spans="1:13" ht="55.2">
      <c r="A138" s="280" t="str">
        <f t="shared" ref="A138:A168" si="10">B138&amp;C138</f>
        <v>DeclarationB7</v>
      </c>
      <c r="B138" s="280" t="s">
        <v>991</v>
      </c>
      <c r="C138" s="280" t="s">
        <v>953</v>
      </c>
      <c r="D138" s="280" t="s">
        <v>1036</v>
      </c>
      <c r="E138" s="312" t="s">
        <v>917</v>
      </c>
      <c r="F138" s="330" t="s">
        <v>14396</v>
      </c>
      <c r="G138" s="283" t="s">
        <v>918</v>
      </c>
      <c r="H138" s="280" t="s">
        <v>368</v>
      </c>
      <c r="I138" s="280" t="s">
        <v>217</v>
      </c>
      <c r="J138" s="280" t="s">
        <v>1244</v>
      </c>
      <c r="K138" s="274" t="s">
        <v>331</v>
      </c>
      <c r="L138" s="286" t="s">
        <v>445</v>
      </c>
      <c r="M138" s="280" t="s">
        <v>14811</v>
      </c>
    </row>
    <row r="139" spans="1:13">
      <c r="A139" s="280" t="str">
        <f t="shared" si="10"/>
        <v>DeclarationB8</v>
      </c>
      <c r="B139" s="280" t="s">
        <v>991</v>
      </c>
      <c r="C139" s="280" t="s">
        <v>954</v>
      </c>
      <c r="D139" s="280" t="s">
        <v>837</v>
      </c>
      <c r="E139" s="246" t="s">
        <v>13433</v>
      </c>
      <c r="F139" s="330" t="s">
        <v>14397</v>
      </c>
      <c r="G139" s="283" t="s">
        <v>1080</v>
      </c>
      <c r="H139" s="280" t="s">
        <v>871</v>
      </c>
      <c r="I139" s="280" t="s">
        <v>218</v>
      </c>
      <c r="J139" s="280" t="s">
        <v>872</v>
      </c>
      <c r="K139" s="274" t="s">
        <v>332</v>
      </c>
      <c r="L139" s="286" t="s">
        <v>446</v>
      </c>
      <c r="M139" s="280" t="s">
        <v>14812</v>
      </c>
    </row>
    <row r="140" spans="1:13">
      <c r="A140" s="280" t="str">
        <f t="shared" si="10"/>
        <v>DeclarationB9</v>
      </c>
      <c r="B140" s="280" t="s">
        <v>991</v>
      </c>
      <c r="C140" s="280" t="s">
        <v>955</v>
      </c>
      <c r="D140" s="280" t="s">
        <v>493</v>
      </c>
      <c r="E140" s="246" t="s">
        <v>13434</v>
      </c>
      <c r="F140" s="330" t="s">
        <v>14398</v>
      </c>
      <c r="G140" s="283" t="s">
        <v>542</v>
      </c>
      <c r="H140" s="280" t="s">
        <v>873</v>
      </c>
      <c r="I140" s="280" t="s">
        <v>219</v>
      </c>
      <c r="J140" s="280" t="s">
        <v>2188</v>
      </c>
      <c r="K140" s="274" t="s">
        <v>333</v>
      </c>
      <c r="L140" s="286" t="s">
        <v>447</v>
      </c>
      <c r="M140" s="280" t="s">
        <v>14813</v>
      </c>
    </row>
    <row r="141" spans="1:13">
      <c r="A141" s="280" t="str">
        <f t="shared" si="10"/>
        <v>DeclarationB10</v>
      </c>
      <c r="B141" s="280" t="s">
        <v>991</v>
      </c>
      <c r="C141" s="280" t="s">
        <v>508</v>
      </c>
      <c r="D141" s="280" t="s">
        <v>505</v>
      </c>
      <c r="E141" s="246" t="s">
        <v>408</v>
      </c>
      <c r="F141" s="330" t="s">
        <v>14399</v>
      </c>
      <c r="G141" s="283" t="s">
        <v>543</v>
      </c>
      <c r="H141" s="280" t="s">
        <v>509</v>
      </c>
      <c r="I141" s="280" t="s">
        <v>220</v>
      </c>
      <c r="J141" s="280" t="s">
        <v>2189</v>
      </c>
      <c r="K141" s="274" t="s">
        <v>334</v>
      </c>
      <c r="L141" s="286" t="s">
        <v>512</v>
      </c>
      <c r="M141" s="280" t="s">
        <v>14814</v>
      </c>
    </row>
    <row r="142" spans="1:13">
      <c r="A142" s="280" t="str">
        <f t="shared" si="10"/>
        <v>DeclarationB10A</v>
      </c>
      <c r="B142" s="280" t="s">
        <v>991</v>
      </c>
      <c r="C142" s="280" t="s">
        <v>1437</v>
      </c>
      <c r="D142" s="280" t="s">
        <v>505</v>
      </c>
      <c r="E142" s="246" t="s">
        <v>408</v>
      </c>
      <c r="F142" s="330" t="s">
        <v>14399</v>
      </c>
      <c r="G142" s="283" t="s">
        <v>543</v>
      </c>
      <c r="H142" s="280" t="s">
        <v>509</v>
      </c>
      <c r="I142" s="280" t="s">
        <v>220</v>
      </c>
      <c r="J142" s="280" t="s">
        <v>2189</v>
      </c>
      <c r="K142" s="274" t="s">
        <v>334</v>
      </c>
      <c r="L142" s="286" t="s">
        <v>512</v>
      </c>
      <c r="M142" s="280" t="s">
        <v>14814</v>
      </c>
    </row>
    <row r="143" spans="1:13">
      <c r="A143" s="280" t="str">
        <f t="shared" si="10"/>
        <v>DeclarationB10C</v>
      </c>
      <c r="B143" s="280" t="s">
        <v>991</v>
      </c>
      <c r="C143" s="280" t="s">
        <v>1438</v>
      </c>
      <c r="D143" s="280" t="s">
        <v>506</v>
      </c>
      <c r="E143" s="246" t="s">
        <v>13435</v>
      </c>
      <c r="F143" s="330" t="s">
        <v>14400</v>
      </c>
      <c r="G143" s="283" t="s">
        <v>544</v>
      </c>
      <c r="H143" s="280" t="s">
        <v>510</v>
      </c>
      <c r="I143" s="280" t="s">
        <v>221</v>
      </c>
      <c r="J143" s="280" t="s">
        <v>2190</v>
      </c>
      <c r="K143" s="274" t="s">
        <v>335</v>
      </c>
      <c r="L143" s="286" t="s">
        <v>513</v>
      </c>
      <c r="M143" s="280" t="s">
        <v>14815</v>
      </c>
    </row>
    <row r="144" spans="1:13" ht="27.6">
      <c r="A144" s="280" t="str">
        <f t="shared" si="10"/>
        <v>DeclarationB10B</v>
      </c>
      <c r="B144" s="280" t="s">
        <v>991</v>
      </c>
      <c r="C144" s="280" t="s">
        <v>1439</v>
      </c>
      <c r="D144" s="280" t="s">
        <v>507</v>
      </c>
      <c r="E144" s="312" t="s">
        <v>13436</v>
      </c>
      <c r="F144" s="330" t="s">
        <v>14401</v>
      </c>
      <c r="G144" s="283" t="s">
        <v>545</v>
      </c>
      <c r="H144" s="280" t="s">
        <v>369</v>
      </c>
      <c r="I144" s="280" t="s">
        <v>222</v>
      </c>
      <c r="J144" s="280" t="s">
        <v>511</v>
      </c>
      <c r="K144" s="274" t="s">
        <v>336</v>
      </c>
      <c r="L144" s="286" t="s">
        <v>514</v>
      </c>
      <c r="M144" s="280" t="s">
        <v>14816</v>
      </c>
    </row>
    <row r="145" spans="1:13" ht="27.6">
      <c r="A145" s="280" t="str">
        <f t="shared" si="10"/>
        <v>DeclarationD11</v>
      </c>
      <c r="B145" s="280" t="s">
        <v>991</v>
      </c>
      <c r="C145" s="280" t="s">
        <v>1541</v>
      </c>
      <c r="D145" s="280" t="s">
        <v>1540</v>
      </c>
      <c r="E145" s="312" t="s">
        <v>13437</v>
      </c>
      <c r="F145" s="330" t="s">
        <v>1892</v>
      </c>
      <c r="G145" s="283" t="s">
        <v>15288</v>
      </c>
      <c r="H145" s="280" t="s">
        <v>1893</v>
      </c>
      <c r="I145" s="280" t="s">
        <v>1894</v>
      </c>
      <c r="J145" s="280" t="s">
        <v>1895</v>
      </c>
      <c r="K145" s="283" t="s">
        <v>1896</v>
      </c>
      <c r="L145" s="292" t="s">
        <v>1897</v>
      </c>
      <c r="M145" s="280" t="s">
        <v>14817</v>
      </c>
    </row>
    <row r="146" spans="1:13" ht="27.6">
      <c r="A146" s="280" t="str">
        <f t="shared" si="10"/>
        <v>DeclarationB12</v>
      </c>
      <c r="B146" s="280" t="s">
        <v>991</v>
      </c>
      <c r="C146" s="280" t="s">
        <v>958</v>
      </c>
      <c r="D146" s="280" t="s">
        <v>462</v>
      </c>
      <c r="E146" s="312" t="s">
        <v>13438</v>
      </c>
      <c r="F146" s="330" t="s">
        <v>14402</v>
      </c>
      <c r="G146" s="283" t="s">
        <v>1081</v>
      </c>
      <c r="H146" s="280" t="s">
        <v>370</v>
      </c>
      <c r="I146" s="280" t="s">
        <v>223</v>
      </c>
      <c r="J146" s="280" t="s">
        <v>2191</v>
      </c>
      <c r="K146" s="274" t="s">
        <v>337</v>
      </c>
      <c r="L146" s="286" t="s">
        <v>13536</v>
      </c>
      <c r="M146" s="280" t="s">
        <v>14818</v>
      </c>
    </row>
    <row r="147" spans="1:13" ht="27.6">
      <c r="A147" s="280" t="str">
        <f t="shared" si="10"/>
        <v>DeclarationB13</v>
      </c>
      <c r="B147" s="280" t="s">
        <v>991</v>
      </c>
      <c r="C147" s="280" t="s">
        <v>959</v>
      </c>
      <c r="D147" s="280" t="s">
        <v>463</v>
      </c>
      <c r="E147" s="312" t="s">
        <v>13439</v>
      </c>
      <c r="F147" s="330" t="s">
        <v>14403</v>
      </c>
      <c r="G147" s="283" t="s">
        <v>546</v>
      </c>
      <c r="H147" s="280" t="s">
        <v>371</v>
      </c>
      <c r="I147" s="280" t="s">
        <v>224</v>
      </c>
      <c r="J147" s="280" t="s">
        <v>2192</v>
      </c>
      <c r="K147" s="274" t="s">
        <v>13567</v>
      </c>
      <c r="L147" s="286" t="s">
        <v>13537</v>
      </c>
      <c r="M147" s="280" t="s">
        <v>14819</v>
      </c>
    </row>
    <row r="148" spans="1:13">
      <c r="A148" s="280" t="str">
        <f t="shared" si="10"/>
        <v>DeclarationB14</v>
      </c>
      <c r="B148" s="280" t="s">
        <v>991</v>
      </c>
      <c r="C148" s="280" t="s">
        <v>960</v>
      </c>
      <c r="D148" s="280" t="s">
        <v>834</v>
      </c>
      <c r="E148" s="246" t="s">
        <v>13440</v>
      </c>
      <c r="F148" s="330" t="s">
        <v>14404</v>
      </c>
      <c r="G148" s="283" t="s">
        <v>1082</v>
      </c>
      <c r="H148" s="280" t="s">
        <v>874</v>
      </c>
      <c r="I148" s="280" t="s">
        <v>225</v>
      </c>
      <c r="J148" s="280" t="s">
        <v>874</v>
      </c>
      <c r="K148" s="274" t="s">
        <v>338</v>
      </c>
      <c r="L148" s="286" t="s">
        <v>448</v>
      </c>
      <c r="M148" s="280" t="s">
        <v>14820</v>
      </c>
    </row>
    <row r="149" spans="1:13">
      <c r="A149" s="280" t="str">
        <f t="shared" si="10"/>
        <v>DeclarationB15</v>
      </c>
      <c r="B149" s="280" t="s">
        <v>991</v>
      </c>
      <c r="C149" s="280" t="s">
        <v>961</v>
      </c>
      <c r="D149" s="280" t="s">
        <v>464</v>
      </c>
      <c r="E149" s="246" t="s">
        <v>13441</v>
      </c>
      <c r="F149" s="330" t="s">
        <v>14405</v>
      </c>
      <c r="G149" s="283" t="s">
        <v>875</v>
      </c>
      <c r="H149" s="280" t="s">
        <v>372</v>
      </c>
      <c r="I149" s="280" t="s">
        <v>226</v>
      </c>
      <c r="J149" s="280" t="s">
        <v>2193</v>
      </c>
      <c r="K149" s="274" t="s">
        <v>13568</v>
      </c>
      <c r="L149" s="286" t="s">
        <v>172</v>
      </c>
      <c r="M149" s="280" t="s">
        <v>14821</v>
      </c>
    </row>
    <row r="150" spans="1:13">
      <c r="A150" s="280" t="str">
        <f t="shared" si="10"/>
        <v>DeclarationB16</v>
      </c>
      <c r="B150" s="280" t="s">
        <v>991</v>
      </c>
      <c r="C150" s="280" t="s">
        <v>962</v>
      </c>
      <c r="D150" s="280" t="s">
        <v>465</v>
      </c>
      <c r="E150" s="246" t="s">
        <v>13442</v>
      </c>
      <c r="F150" s="330" t="s">
        <v>14406</v>
      </c>
      <c r="G150" s="283" t="s">
        <v>1083</v>
      </c>
      <c r="H150" s="280" t="s">
        <v>373</v>
      </c>
      <c r="I150" s="280" t="s">
        <v>227</v>
      </c>
      <c r="J150" s="280" t="s">
        <v>2194</v>
      </c>
      <c r="K150" s="274" t="s">
        <v>13569</v>
      </c>
      <c r="L150" s="286" t="s">
        <v>173</v>
      </c>
      <c r="M150" s="280" t="s">
        <v>14822</v>
      </c>
    </row>
    <row r="151" spans="1:13">
      <c r="A151" s="280" t="str">
        <f t="shared" si="10"/>
        <v>DeclarationB17</v>
      </c>
      <c r="B151" s="280" t="s">
        <v>991</v>
      </c>
      <c r="C151" s="280" t="s">
        <v>963</v>
      </c>
      <c r="D151" s="280" t="s">
        <v>466</v>
      </c>
      <c r="E151" s="246" t="s">
        <v>13443</v>
      </c>
      <c r="F151" s="330" t="s">
        <v>14407</v>
      </c>
      <c r="G151" s="283" t="s">
        <v>547</v>
      </c>
      <c r="H151" s="280" t="s">
        <v>374</v>
      </c>
      <c r="I151" s="280" t="s">
        <v>228</v>
      </c>
      <c r="J151" s="280" t="s">
        <v>2195</v>
      </c>
      <c r="K151" s="274" t="s">
        <v>13570</v>
      </c>
      <c r="L151" s="286" t="s">
        <v>174</v>
      </c>
      <c r="M151" s="280" t="s">
        <v>14823</v>
      </c>
    </row>
    <row r="152" spans="1:13">
      <c r="A152" s="280" t="str">
        <f t="shared" si="10"/>
        <v>DeclarationB18</v>
      </c>
      <c r="B152" s="280" t="s">
        <v>991</v>
      </c>
      <c r="C152" s="280" t="s">
        <v>964</v>
      </c>
      <c r="D152" s="280" t="s">
        <v>497</v>
      </c>
      <c r="E152" s="246" t="s">
        <v>13444</v>
      </c>
      <c r="F152" s="330" t="s">
        <v>14408</v>
      </c>
      <c r="G152" s="283" t="s">
        <v>15289</v>
      </c>
      <c r="H152" s="280" t="s">
        <v>130</v>
      </c>
      <c r="I152" s="280" t="s">
        <v>229</v>
      </c>
      <c r="J152" s="280" t="s">
        <v>1374</v>
      </c>
      <c r="K152" s="274" t="s">
        <v>13571</v>
      </c>
      <c r="L152" s="286" t="s">
        <v>175</v>
      </c>
      <c r="M152" s="280" t="s">
        <v>14824</v>
      </c>
    </row>
    <row r="153" spans="1:13">
      <c r="A153" s="280" t="str">
        <f t="shared" si="10"/>
        <v>DeclarationB19</v>
      </c>
      <c r="B153" s="280" t="s">
        <v>991</v>
      </c>
      <c r="C153" s="280" t="s">
        <v>965</v>
      </c>
      <c r="D153" s="280" t="s">
        <v>498</v>
      </c>
      <c r="E153" s="246" t="s">
        <v>13445</v>
      </c>
      <c r="F153" s="330" t="s">
        <v>14409</v>
      </c>
      <c r="G153" s="283" t="s">
        <v>15290</v>
      </c>
      <c r="H153" s="280" t="s">
        <v>628</v>
      </c>
      <c r="I153" s="280" t="s">
        <v>13565</v>
      </c>
      <c r="J153" s="280" t="s">
        <v>2196</v>
      </c>
      <c r="K153" s="274" t="s">
        <v>13566</v>
      </c>
      <c r="L153" s="286" t="s">
        <v>176</v>
      </c>
      <c r="M153" s="280" t="s">
        <v>14825</v>
      </c>
    </row>
    <row r="154" spans="1:13">
      <c r="A154" s="280" t="str">
        <f t="shared" si="10"/>
        <v>DeclarationB20</v>
      </c>
      <c r="B154" s="280" t="s">
        <v>991</v>
      </c>
      <c r="C154" s="280" t="s">
        <v>966</v>
      </c>
      <c r="D154" s="280" t="s">
        <v>499</v>
      </c>
      <c r="E154" s="246" t="s">
        <v>13446</v>
      </c>
      <c r="F154" s="330" t="s">
        <v>14410</v>
      </c>
      <c r="G154" s="283" t="s">
        <v>15291</v>
      </c>
      <c r="H154" s="280" t="s">
        <v>375</v>
      </c>
      <c r="I154" s="280" t="s">
        <v>230</v>
      </c>
      <c r="J154" s="280" t="s">
        <v>2197</v>
      </c>
      <c r="K154" s="274" t="s">
        <v>13572</v>
      </c>
      <c r="L154" s="286" t="s">
        <v>177</v>
      </c>
      <c r="M154" s="280" t="s">
        <v>14826</v>
      </c>
    </row>
    <row r="155" spans="1:13">
      <c r="A155" s="280" t="str">
        <f t="shared" si="10"/>
        <v>DeclarationB21</v>
      </c>
      <c r="B155" s="280" t="s">
        <v>991</v>
      </c>
      <c r="C155" s="280" t="s">
        <v>967</v>
      </c>
      <c r="D155" s="280" t="s">
        <v>13975</v>
      </c>
      <c r="E155" s="246" t="s">
        <v>13976</v>
      </c>
      <c r="F155" s="319" t="s">
        <v>13977</v>
      </c>
      <c r="G155" s="283" t="s">
        <v>15292</v>
      </c>
      <c r="H155" s="280" t="s">
        <v>376</v>
      </c>
      <c r="I155" s="280" t="s">
        <v>13978</v>
      </c>
      <c r="J155" s="280" t="s">
        <v>13979</v>
      </c>
      <c r="K155" s="274" t="s">
        <v>13980</v>
      </c>
      <c r="L155" s="286" t="s">
        <v>13981</v>
      </c>
      <c r="M155" s="280" t="s">
        <v>13982</v>
      </c>
    </row>
    <row r="156" spans="1:13">
      <c r="A156" s="280" t="str">
        <f t="shared" si="10"/>
        <v>DeclarationB22</v>
      </c>
      <c r="B156" s="280" t="s">
        <v>991</v>
      </c>
      <c r="C156" s="280" t="s">
        <v>968</v>
      </c>
      <c r="D156" s="280" t="s">
        <v>467</v>
      </c>
      <c r="E156" s="275" t="s">
        <v>13447</v>
      </c>
      <c r="F156" s="330" t="s">
        <v>14411</v>
      </c>
      <c r="G156" s="283" t="s">
        <v>548</v>
      </c>
      <c r="H156" s="280" t="s">
        <v>377</v>
      </c>
      <c r="I156" s="280" t="s">
        <v>231</v>
      </c>
      <c r="J156" s="280" t="s">
        <v>1375</v>
      </c>
      <c r="K156" s="274" t="s">
        <v>13573</v>
      </c>
      <c r="L156" s="286" t="s">
        <v>178</v>
      </c>
      <c r="M156" s="280" t="s">
        <v>14827</v>
      </c>
    </row>
    <row r="157" spans="1:13" ht="27.6">
      <c r="A157" s="280" t="str">
        <f t="shared" si="10"/>
        <v>DeclarationB24</v>
      </c>
      <c r="B157" s="280" t="s">
        <v>991</v>
      </c>
      <c r="C157" s="280" t="s">
        <v>996</v>
      </c>
      <c r="D157" s="280" t="s">
        <v>14106</v>
      </c>
      <c r="E157" s="246" t="s">
        <v>14107</v>
      </c>
      <c r="F157" s="330" t="s">
        <v>14412</v>
      </c>
      <c r="G157" s="283" t="s">
        <v>14108</v>
      </c>
      <c r="H157" s="280" t="s">
        <v>14109</v>
      </c>
      <c r="I157" s="280" t="s">
        <v>14110</v>
      </c>
      <c r="J157" s="280" t="s">
        <v>14111</v>
      </c>
      <c r="K157" s="274" t="s">
        <v>14112</v>
      </c>
      <c r="L157" s="286" t="s">
        <v>14113</v>
      </c>
      <c r="M157" s="280" t="s">
        <v>14114</v>
      </c>
    </row>
    <row r="158" spans="1:13" ht="28.8">
      <c r="A158" s="280" t="str">
        <f t="shared" si="10"/>
        <v>DeclarationB25</v>
      </c>
      <c r="B158" s="280" t="s">
        <v>991</v>
      </c>
      <c r="C158" s="280" t="s">
        <v>476</v>
      </c>
      <c r="D158" s="282" t="s">
        <v>12496</v>
      </c>
      <c r="E158" s="247" t="s">
        <v>13448</v>
      </c>
      <c r="F158" s="325" t="s">
        <v>14413</v>
      </c>
      <c r="G158" s="336" t="s">
        <v>14513</v>
      </c>
      <c r="H158" s="288" t="s">
        <v>14563</v>
      </c>
      <c r="I158" s="288" t="s">
        <v>14618</v>
      </c>
      <c r="J158" s="288" t="s">
        <v>14953</v>
      </c>
      <c r="K158" s="289" t="s">
        <v>14675</v>
      </c>
      <c r="L158" s="290" t="s">
        <v>13538</v>
      </c>
      <c r="M158" s="288" t="s">
        <v>14828</v>
      </c>
    </row>
    <row r="159" spans="1:13" ht="14.4">
      <c r="A159" s="280" t="str">
        <f t="shared" si="10"/>
        <v>DeclarationB31</v>
      </c>
      <c r="B159" s="280" t="s">
        <v>991</v>
      </c>
      <c r="C159" s="280" t="s">
        <v>477</v>
      </c>
      <c r="D159" s="282" t="s">
        <v>12526</v>
      </c>
      <c r="E159" s="247" t="s">
        <v>12527</v>
      </c>
      <c r="F159" s="325" t="s">
        <v>14414</v>
      </c>
      <c r="G159" s="335" t="s">
        <v>12528</v>
      </c>
      <c r="H159" s="288" t="s">
        <v>14564</v>
      </c>
      <c r="I159" s="277" t="s">
        <v>12529</v>
      </c>
      <c r="J159" s="277" t="s">
        <v>12530</v>
      </c>
      <c r="K159" s="289" t="s">
        <v>12531</v>
      </c>
      <c r="L159" s="290" t="s">
        <v>12532</v>
      </c>
      <c r="M159" s="277" t="s">
        <v>12533</v>
      </c>
    </row>
    <row r="160" spans="1:13" ht="50.4">
      <c r="A160" s="280" t="str">
        <f t="shared" si="10"/>
        <v>DeclarationB37</v>
      </c>
      <c r="B160" s="280" t="s">
        <v>991</v>
      </c>
      <c r="C160" s="280" t="s">
        <v>478</v>
      </c>
      <c r="D160" s="282" t="s">
        <v>2300</v>
      </c>
      <c r="E160" s="275" t="s">
        <v>13449</v>
      </c>
      <c r="F160" s="331" t="s">
        <v>14415</v>
      </c>
      <c r="G160" s="334" t="s">
        <v>2377</v>
      </c>
      <c r="H160" s="282" t="s">
        <v>2378</v>
      </c>
      <c r="I160" s="282" t="s">
        <v>2379</v>
      </c>
      <c r="J160" s="282" t="s">
        <v>15381</v>
      </c>
      <c r="K160" s="276" t="s">
        <v>2380</v>
      </c>
      <c r="L160" s="287" t="s">
        <v>2381</v>
      </c>
      <c r="M160" s="282" t="s">
        <v>2382</v>
      </c>
    </row>
    <row r="161" spans="1:13" ht="37.799999999999997">
      <c r="A161" s="280" t="str">
        <f t="shared" si="10"/>
        <v>DeclarationB43</v>
      </c>
      <c r="B161" s="280" t="s">
        <v>991</v>
      </c>
      <c r="C161" s="280" t="s">
        <v>479</v>
      </c>
      <c r="D161" s="282" t="s">
        <v>13995</v>
      </c>
      <c r="E161" s="282" t="s">
        <v>14233</v>
      </c>
      <c r="F161" s="331" t="s">
        <v>15123</v>
      </c>
      <c r="G161" s="334" t="s">
        <v>15293</v>
      </c>
      <c r="H161" s="282" t="s">
        <v>14565</v>
      </c>
      <c r="I161" s="282" t="s">
        <v>14619</v>
      </c>
      <c r="J161" s="282" t="s">
        <v>15382</v>
      </c>
      <c r="K161" s="282" t="s">
        <v>14676</v>
      </c>
      <c r="L161" s="282" t="s">
        <v>14733</v>
      </c>
      <c r="M161" s="282" t="s">
        <v>14829</v>
      </c>
    </row>
    <row r="162" spans="1:13" ht="37.799999999999997">
      <c r="A162" s="280" t="str">
        <f t="shared" si="10"/>
        <v>DeclarationB49</v>
      </c>
      <c r="B162" s="280" t="s">
        <v>991</v>
      </c>
      <c r="C162" s="280" t="s">
        <v>480</v>
      </c>
      <c r="D162" s="282" t="s">
        <v>13986</v>
      </c>
      <c r="E162" s="275" t="s">
        <v>13987</v>
      </c>
      <c r="F162" s="331" t="s">
        <v>14416</v>
      </c>
      <c r="G162" s="334" t="s">
        <v>13988</v>
      </c>
      <c r="H162" s="282" t="s">
        <v>13989</v>
      </c>
      <c r="I162" s="282" t="s">
        <v>13990</v>
      </c>
      <c r="J162" s="282" t="s">
        <v>13991</v>
      </c>
      <c r="K162" s="276" t="s">
        <v>13992</v>
      </c>
      <c r="L162" s="287" t="s">
        <v>13993</v>
      </c>
      <c r="M162" s="282" t="s">
        <v>13994</v>
      </c>
    </row>
    <row r="163" spans="1:13" ht="28.8">
      <c r="A163" s="280" t="str">
        <f t="shared" si="10"/>
        <v>DeclarationB55</v>
      </c>
      <c r="B163" s="280" t="s">
        <v>991</v>
      </c>
      <c r="C163" s="280" t="s">
        <v>481</v>
      </c>
      <c r="D163" s="282" t="s">
        <v>13996</v>
      </c>
      <c r="E163" s="313" t="s">
        <v>14234</v>
      </c>
      <c r="F163" s="328" t="s">
        <v>13997</v>
      </c>
      <c r="G163" s="335" t="s">
        <v>13998</v>
      </c>
      <c r="H163" s="277" t="s">
        <v>13999</v>
      </c>
      <c r="I163" s="277" t="s">
        <v>14000</v>
      </c>
      <c r="J163" s="277" t="s">
        <v>14001</v>
      </c>
      <c r="K163" s="289" t="s">
        <v>14002</v>
      </c>
      <c r="L163" s="290" t="s">
        <v>14003</v>
      </c>
      <c r="M163" s="277" t="s">
        <v>14004</v>
      </c>
    </row>
    <row r="164" spans="1:13" ht="28.8">
      <c r="A164" s="280" t="str">
        <f t="shared" si="10"/>
        <v>DeclarationB61</v>
      </c>
      <c r="B164" s="280" t="s">
        <v>991</v>
      </c>
      <c r="C164" s="280" t="s">
        <v>999</v>
      </c>
      <c r="D164" s="282" t="s">
        <v>14005</v>
      </c>
      <c r="E164" s="311" t="s">
        <v>14006</v>
      </c>
      <c r="F164" s="331" t="s">
        <v>14417</v>
      </c>
      <c r="G164" s="334" t="s">
        <v>14007</v>
      </c>
      <c r="H164" s="282" t="s">
        <v>14008</v>
      </c>
      <c r="I164" s="282" t="s">
        <v>14009</v>
      </c>
      <c r="J164" s="282" t="s">
        <v>14010</v>
      </c>
      <c r="K164" s="276" t="s">
        <v>14011</v>
      </c>
      <c r="L164" s="287" t="s">
        <v>14012</v>
      </c>
      <c r="M164" s="282" t="s">
        <v>14013</v>
      </c>
    </row>
    <row r="165" spans="1:13" ht="37.799999999999997">
      <c r="A165" s="280" t="str">
        <f t="shared" si="10"/>
        <v>DeclarationB67</v>
      </c>
      <c r="B165" s="280" t="s">
        <v>991</v>
      </c>
      <c r="C165" s="280" t="s">
        <v>1249</v>
      </c>
      <c r="D165" s="282" t="s">
        <v>14014</v>
      </c>
      <c r="E165" s="311" t="s">
        <v>14015</v>
      </c>
      <c r="F165" s="331" t="s">
        <v>14418</v>
      </c>
      <c r="G165" s="334" t="s">
        <v>15294</v>
      </c>
      <c r="H165" s="282" t="s">
        <v>14016</v>
      </c>
      <c r="I165" s="282" t="s">
        <v>14017</v>
      </c>
      <c r="J165" s="282" t="s">
        <v>14018</v>
      </c>
      <c r="K165" s="276" t="s">
        <v>14019</v>
      </c>
      <c r="L165" s="287" t="s">
        <v>14020</v>
      </c>
      <c r="M165" s="282" t="s">
        <v>14021</v>
      </c>
    </row>
    <row r="166" spans="1:13">
      <c r="A166" s="280" t="str">
        <f t="shared" si="10"/>
        <v>DeclarationB73</v>
      </c>
      <c r="B166" s="280" t="s">
        <v>991</v>
      </c>
      <c r="C166" s="280" t="s">
        <v>1259</v>
      </c>
      <c r="D166" s="280" t="s">
        <v>1037</v>
      </c>
      <c r="E166" s="312" t="s">
        <v>13450</v>
      </c>
      <c r="F166" s="330" t="s">
        <v>14419</v>
      </c>
      <c r="G166" s="283" t="s">
        <v>919</v>
      </c>
      <c r="H166" s="280" t="s">
        <v>1237</v>
      </c>
      <c r="I166" s="280" t="s">
        <v>232</v>
      </c>
      <c r="J166" s="280" t="s">
        <v>1245</v>
      </c>
      <c r="K166" s="274" t="s">
        <v>268</v>
      </c>
      <c r="L166" s="286" t="s">
        <v>620</v>
      </c>
      <c r="M166" s="280" t="s">
        <v>14830</v>
      </c>
    </row>
    <row r="167" spans="1:13" ht="27.6">
      <c r="A167" s="280" t="str">
        <f t="shared" si="10"/>
        <v>DeclarationB75</v>
      </c>
      <c r="B167" s="280" t="s">
        <v>991</v>
      </c>
      <c r="C167" s="280" t="s">
        <v>1260</v>
      </c>
      <c r="D167" s="280" t="s">
        <v>14954</v>
      </c>
      <c r="E167" s="280" t="s">
        <v>14235</v>
      </c>
      <c r="F167" s="330" t="s">
        <v>14420</v>
      </c>
      <c r="G167" s="283" t="s">
        <v>15295</v>
      </c>
      <c r="H167" s="280" t="s">
        <v>14566</v>
      </c>
      <c r="I167" s="280" t="s">
        <v>14620</v>
      </c>
      <c r="J167" s="280" t="s">
        <v>15383</v>
      </c>
      <c r="K167" s="280" t="s">
        <v>14677</v>
      </c>
      <c r="L167" s="280" t="s">
        <v>14734</v>
      </c>
      <c r="M167" s="280" t="s">
        <v>14831</v>
      </c>
    </row>
    <row r="168" spans="1:13" ht="69">
      <c r="A168" s="280" t="str">
        <f t="shared" si="10"/>
        <v>DeclarationB77</v>
      </c>
      <c r="B168" s="280" t="s">
        <v>991</v>
      </c>
      <c r="C168" s="280" t="s">
        <v>1261</v>
      </c>
      <c r="D168" s="280" t="s">
        <v>14955</v>
      </c>
      <c r="E168" s="280" t="s">
        <v>14236</v>
      </c>
      <c r="F168" s="330" t="s">
        <v>14421</v>
      </c>
      <c r="G168" s="283" t="s">
        <v>14514</v>
      </c>
      <c r="H168" s="280" t="s">
        <v>14567</v>
      </c>
      <c r="I168" s="280" t="s">
        <v>14621</v>
      </c>
      <c r="J168" s="280" t="s">
        <v>15384</v>
      </c>
      <c r="K168" s="280" t="s">
        <v>14678</v>
      </c>
      <c r="L168" s="280" t="s">
        <v>14735</v>
      </c>
      <c r="M168" s="280" t="s">
        <v>14832</v>
      </c>
    </row>
    <row r="169" spans="1:13" ht="50.4">
      <c r="A169" s="280" t="str">
        <f t="shared" ref="A169" si="11">B169&amp;C169</f>
        <v>DeclarationB79</v>
      </c>
      <c r="B169" s="280" t="s">
        <v>991</v>
      </c>
      <c r="C169" s="280" t="s">
        <v>482</v>
      </c>
      <c r="D169" s="282" t="s">
        <v>14023</v>
      </c>
      <c r="E169" s="311" t="s">
        <v>14024</v>
      </c>
      <c r="F169" s="331" t="s">
        <v>15124</v>
      </c>
      <c r="G169" s="334" t="s">
        <v>14025</v>
      </c>
      <c r="H169" s="282" t="s">
        <v>14026</v>
      </c>
      <c r="I169" s="282" t="s">
        <v>14027</v>
      </c>
      <c r="J169" s="282" t="s">
        <v>15385</v>
      </c>
      <c r="K169" s="276" t="s">
        <v>14028</v>
      </c>
      <c r="L169" s="287" t="s">
        <v>14029</v>
      </c>
      <c r="M169" s="282" t="s">
        <v>14030</v>
      </c>
    </row>
    <row r="170" spans="1:13" ht="37.799999999999997">
      <c r="A170" s="280" t="str">
        <f t="shared" ref="A170:A205" si="12">B170&amp;C170</f>
        <v>DeclarationB81</v>
      </c>
      <c r="B170" s="280" t="s">
        <v>991</v>
      </c>
      <c r="C170" s="280" t="s">
        <v>483</v>
      </c>
      <c r="D170" s="282" t="s">
        <v>14980</v>
      </c>
      <c r="E170" s="282" t="s">
        <v>14237</v>
      </c>
      <c r="F170" s="331" t="s">
        <v>15125</v>
      </c>
      <c r="G170" s="334" t="s">
        <v>14515</v>
      </c>
      <c r="H170" s="282" t="s">
        <v>14568</v>
      </c>
      <c r="I170" s="282" t="s">
        <v>14622</v>
      </c>
      <c r="J170" s="282" t="s">
        <v>14979</v>
      </c>
      <c r="K170" s="282" t="s">
        <v>14679</v>
      </c>
      <c r="L170" s="282" t="s">
        <v>14736</v>
      </c>
      <c r="M170" s="282" t="s">
        <v>14833</v>
      </c>
    </row>
    <row r="171" spans="1:13" ht="28.8">
      <c r="A171" s="280" t="str">
        <f t="shared" si="12"/>
        <v>DeclarationB83</v>
      </c>
      <c r="B171" s="280" t="s">
        <v>991</v>
      </c>
      <c r="C171" s="280" t="s">
        <v>484</v>
      </c>
      <c r="D171" s="282" t="s">
        <v>14031</v>
      </c>
      <c r="E171" s="313" t="s">
        <v>14032</v>
      </c>
      <c r="F171" s="325" t="s">
        <v>14422</v>
      </c>
      <c r="G171" s="335" t="s">
        <v>14033</v>
      </c>
      <c r="H171" s="277" t="s">
        <v>14034</v>
      </c>
      <c r="I171" s="277" t="s">
        <v>14035</v>
      </c>
      <c r="J171" s="277" t="s">
        <v>14036</v>
      </c>
      <c r="K171" s="289" t="s">
        <v>14037</v>
      </c>
      <c r="L171" s="290" t="s">
        <v>14038</v>
      </c>
      <c r="M171" s="277" t="s">
        <v>14039</v>
      </c>
    </row>
    <row r="172" spans="1:13" ht="41.4">
      <c r="A172" s="280" t="str">
        <f t="shared" si="12"/>
        <v>DeclarationB85</v>
      </c>
      <c r="B172" s="280" t="s">
        <v>991</v>
      </c>
      <c r="C172" s="280" t="s">
        <v>485</v>
      </c>
      <c r="D172" s="280" t="s">
        <v>14040</v>
      </c>
      <c r="E172" s="312" t="s">
        <v>14041</v>
      </c>
      <c r="F172" s="330" t="s">
        <v>15126</v>
      </c>
      <c r="G172" s="283" t="s">
        <v>14042</v>
      </c>
      <c r="H172" s="280" t="s">
        <v>14043</v>
      </c>
      <c r="I172" s="280" t="s">
        <v>14044</v>
      </c>
      <c r="J172" s="280" t="s">
        <v>15386</v>
      </c>
      <c r="K172" s="274" t="s">
        <v>14045</v>
      </c>
      <c r="L172" s="286" t="s">
        <v>14046</v>
      </c>
      <c r="M172" s="280" t="s">
        <v>14047</v>
      </c>
    </row>
    <row r="173" spans="1:13" ht="27.6">
      <c r="A173" s="280" t="str">
        <f t="shared" si="12"/>
        <v>DeclarationB87</v>
      </c>
      <c r="B173" s="280" t="s">
        <v>991</v>
      </c>
      <c r="C173" s="280" t="s">
        <v>13984</v>
      </c>
      <c r="D173" s="280" t="s">
        <v>14048</v>
      </c>
      <c r="E173" s="312" t="s">
        <v>14049</v>
      </c>
      <c r="F173" s="330" t="s">
        <v>14423</v>
      </c>
      <c r="G173" s="283" t="s">
        <v>14050</v>
      </c>
      <c r="H173" s="280" t="s">
        <v>14051</v>
      </c>
      <c r="I173" s="280" t="s">
        <v>14052</v>
      </c>
      <c r="J173" s="280" t="s">
        <v>14053</v>
      </c>
      <c r="K173" s="274" t="s">
        <v>14054</v>
      </c>
      <c r="L173" s="286" t="s">
        <v>14055</v>
      </c>
      <c r="M173" s="280" t="s">
        <v>14056</v>
      </c>
    </row>
    <row r="174" spans="1:13" ht="28.8">
      <c r="A174" s="280" t="str">
        <f t="shared" si="12"/>
        <v>DeclarationB89</v>
      </c>
      <c r="B174" s="280" t="s">
        <v>991</v>
      </c>
      <c r="C174" s="280" t="s">
        <v>13985</v>
      </c>
      <c r="D174" s="280" t="s">
        <v>14139</v>
      </c>
      <c r="E174" s="317" t="s">
        <v>15083</v>
      </c>
      <c r="F174" s="325" t="s">
        <v>15127</v>
      </c>
      <c r="G174" s="317" t="s">
        <v>15084</v>
      </c>
      <c r="H174" s="317" t="s">
        <v>15085</v>
      </c>
      <c r="I174" s="317" t="s">
        <v>15086</v>
      </c>
      <c r="J174" s="317" t="s">
        <v>15087</v>
      </c>
      <c r="K174" s="317" t="s">
        <v>15088</v>
      </c>
      <c r="L174" s="317" t="s">
        <v>15089</v>
      </c>
      <c r="M174" s="317" t="s">
        <v>15090</v>
      </c>
    </row>
    <row r="175" spans="1:13">
      <c r="A175" s="280" t="str">
        <f t="shared" si="12"/>
        <v>DeclarationD25</v>
      </c>
      <c r="B175" s="280" t="s">
        <v>991</v>
      </c>
      <c r="C175" s="280" t="s">
        <v>523</v>
      </c>
      <c r="D175" s="280" t="s">
        <v>836</v>
      </c>
      <c r="E175" s="246" t="s">
        <v>862</v>
      </c>
      <c r="F175" s="330" t="s">
        <v>862</v>
      </c>
      <c r="G175" s="283" t="s">
        <v>1084</v>
      </c>
      <c r="H175" s="280" t="s">
        <v>1238</v>
      </c>
      <c r="I175" s="280" t="s">
        <v>920</v>
      </c>
      <c r="J175" s="280" t="s">
        <v>921</v>
      </c>
      <c r="K175" s="274" t="s">
        <v>922</v>
      </c>
      <c r="L175" s="286" t="s">
        <v>450</v>
      </c>
      <c r="M175" s="280" t="s">
        <v>14834</v>
      </c>
    </row>
    <row r="176" spans="1:13">
      <c r="A176" s="280" t="str">
        <f t="shared" si="12"/>
        <v>DeclarationB74</v>
      </c>
      <c r="B176" s="280" t="s">
        <v>991</v>
      </c>
      <c r="C176" s="280" t="s">
        <v>13983</v>
      </c>
      <c r="D176" s="280" t="s">
        <v>1038</v>
      </c>
      <c r="E176" s="246" t="s">
        <v>932</v>
      </c>
      <c r="F176" s="330" t="s">
        <v>14424</v>
      </c>
      <c r="G176" s="283" t="s">
        <v>933</v>
      </c>
      <c r="H176" s="280" t="s">
        <v>1038</v>
      </c>
      <c r="I176" s="280" t="s">
        <v>934</v>
      </c>
      <c r="J176" s="280" t="s">
        <v>935</v>
      </c>
      <c r="K176" s="274" t="s">
        <v>931</v>
      </c>
      <c r="L176" s="286" t="s">
        <v>449</v>
      </c>
      <c r="M176" s="280" t="s">
        <v>14835</v>
      </c>
    </row>
    <row r="177" spans="1:13">
      <c r="A177" s="280" t="str">
        <f t="shared" si="12"/>
        <v>DeclarationG25</v>
      </c>
      <c r="B177" s="280" t="s">
        <v>991</v>
      </c>
      <c r="C177" s="280" t="s">
        <v>524</v>
      </c>
      <c r="D177" s="280" t="s">
        <v>835</v>
      </c>
      <c r="E177" s="246" t="s">
        <v>863</v>
      </c>
      <c r="F177" s="330" t="s">
        <v>14425</v>
      </c>
      <c r="G177" s="283" t="s">
        <v>923</v>
      </c>
      <c r="H177" s="280" t="s">
        <v>924</v>
      </c>
      <c r="I177" s="280" t="s">
        <v>925</v>
      </c>
      <c r="J177" s="280" t="s">
        <v>1027</v>
      </c>
      <c r="K177" s="274" t="s">
        <v>926</v>
      </c>
      <c r="L177" s="286" t="s">
        <v>451</v>
      </c>
      <c r="M177" s="280" t="s">
        <v>14836</v>
      </c>
    </row>
    <row r="178" spans="1:13">
      <c r="A178" s="280" t="str">
        <f t="shared" si="12"/>
        <v>DeclarationB26</v>
      </c>
      <c r="B178" s="280" t="s">
        <v>991</v>
      </c>
      <c r="C178" s="280" t="s">
        <v>515</v>
      </c>
      <c r="D178" s="280" t="s">
        <v>1262</v>
      </c>
      <c r="E178" s="246" t="s">
        <v>13451</v>
      </c>
      <c r="F178" s="330" t="s">
        <v>14426</v>
      </c>
      <c r="G178" s="283" t="s">
        <v>1263</v>
      </c>
      <c r="H178" s="280" t="s">
        <v>1264</v>
      </c>
      <c r="I178" s="280" t="s">
        <v>233</v>
      </c>
      <c r="J178" s="280" t="s">
        <v>1265</v>
      </c>
      <c r="K178" s="274" t="s">
        <v>1266</v>
      </c>
      <c r="L178" s="286" t="s">
        <v>1266</v>
      </c>
      <c r="M178" s="280" t="s">
        <v>14837</v>
      </c>
    </row>
    <row r="179" spans="1:13">
      <c r="A179" s="280" t="str">
        <f t="shared" si="12"/>
        <v>DeclarationB27</v>
      </c>
      <c r="B179" s="280" t="s">
        <v>991</v>
      </c>
      <c r="C179" s="280" t="s">
        <v>516</v>
      </c>
      <c r="D179" s="280" t="s">
        <v>1267</v>
      </c>
      <c r="E179" s="246" t="s">
        <v>13452</v>
      </c>
      <c r="F179" s="330" t="s">
        <v>14427</v>
      </c>
      <c r="G179" s="283" t="s">
        <v>1268</v>
      </c>
      <c r="H179" s="280" t="s">
        <v>1269</v>
      </c>
      <c r="I179" s="280" t="s">
        <v>234</v>
      </c>
      <c r="J179" s="280" t="s">
        <v>1270</v>
      </c>
      <c r="K179" s="274" t="s">
        <v>1271</v>
      </c>
      <c r="L179" s="286" t="s">
        <v>1272</v>
      </c>
      <c r="M179" s="280" t="s">
        <v>14838</v>
      </c>
    </row>
    <row r="180" spans="1:13">
      <c r="A180" s="280" t="str">
        <f t="shared" si="12"/>
        <v>DeclarationB28</v>
      </c>
      <c r="B180" s="280" t="s">
        <v>991</v>
      </c>
      <c r="C180" s="280" t="s">
        <v>517</v>
      </c>
      <c r="D180" s="280" t="s">
        <v>1273</v>
      </c>
      <c r="E180" s="246" t="s">
        <v>1274</v>
      </c>
      <c r="F180" s="330" t="s">
        <v>1274</v>
      </c>
      <c r="G180" s="283" t="s">
        <v>1275</v>
      </c>
      <c r="H180" s="280" t="s">
        <v>1276</v>
      </c>
      <c r="I180" s="280" t="s">
        <v>235</v>
      </c>
      <c r="J180" s="280" t="s">
        <v>1273</v>
      </c>
      <c r="K180" s="274" t="s">
        <v>1277</v>
      </c>
      <c r="L180" s="286" t="s">
        <v>1277</v>
      </c>
      <c r="M180" s="280" t="s">
        <v>14839</v>
      </c>
    </row>
    <row r="181" spans="1:13">
      <c r="A181" s="280" t="str">
        <f t="shared" si="12"/>
        <v>DeclarationB29</v>
      </c>
      <c r="B181" s="280" t="s">
        <v>991</v>
      </c>
      <c r="C181" s="280" t="s">
        <v>518</v>
      </c>
      <c r="D181" s="280" t="s">
        <v>1278</v>
      </c>
      <c r="E181" s="275" t="s">
        <v>13453</v>
      </c>
      <c r="F181" s="330" t="s">
        <v>14428</v>
      </c>
      <c r="G181" s="283" t="s">
        <v>1279</v>
      </c>
      <c r="H181" s="280" t="s">
        <v>1280</v>
      </c>
      <c r="I181" s="280" t="s">
        <v>236</v>
      </c>
      <c r="J181" s="280" t="s">
        <v>1281</v>
      </c>
      <c r="K181" s="274" t="s">
        <v>1282</v>
      </c>
      <c r="L181" s="286" t="s">
        <v>1282</v>
      </c>
      <c r="M181" s="280" t="s">
        <v>14840</v>
      </c>
    </row>
    <row r="182" spans="1:13">
      <c r="A182" s="280" t="str">
        <f t="shared" si="12"/>
        <v>DeclarationB38</v>
      </c>
      <c r="B182" s="280" t="s">
        <v>991</v>
      </c>
      <c r="C182" s="280" t="s">
        <v>519</v>
      </c>
      <c r="D182" s="280" t="s">
        <v>1262</v>
      </c>
      <c r="E182" s="275" t="s">
        <v>13451</v>
      </c>
      <c r="F182" s="330" t="s">
        <v>14426</v>
      </c>
      <c r="G182" s="283" t="s">
        <v>1263</v>
      </c>
      <c r="H182" s="280" t="s">
        <v>1264</v>
      </c>
      <c r="I182" s="280" t="s">
        <v>233</v>
      </c>
      <c r="J182" s="280" t="s">
        <v>1265</v>
      </c>
      <c r="K182" s="274" t="s">
        <v>1266</v>
      </c>
      <c r="L182" s="286" t="s">
        <v>1266</v>
      </c>
      <c r="M182" s="280" t="s">
        <v>14837</v>
      </c>
    </row>
    <row r="183" spans="1:13">
      <c r="A183" s="280" t="str">
        <f t="shared" si="12"/>
        <v>DeclarationB39</v>
      </c>
      <c r="B183" s="280" t="s">
        <v>991</v>
      </c>
      <c r="C183" s="280" t="s">
        <v>520</v>
      </c>
      <c r="D183" s="280" t="s">
        <v>1267</v>
      </c>
      <c r="E183" s="275" t="s">
        <v>13452</v>
      </c>
      <c r="F183" s="330" t="s">
        <v>14427</v>
      </c>
      <c r="G183" s="283" t="s">
        <v>1268</v>
      </c>
      <c r="H183" s="280" t="s">
        <v>1269</v>
      </c>
      <c r="I183" s="280" t="s">
        <v>234</v>
      </c>
      <c r="J183" s="280" t="s">
        <v>1270</v>
      </c>
      <c r="K183" s="274" t="s">
        <v>1271</v>
      </c>
      <c r="L183" s="286" t="s">
        <v>1272</v>
      </c>
      <c r="M183" s="280" t="s">
        <v>14838</v>
      </c>
    </row>
    <row r="184" spans="1:13">
      <c r="A184" s="280" t="str">
        <f t="shared" si="12"/>
        <v>DeclarationB40</v>
      </c>
      <c r="B184" s="280" t="s">
        <v>991</v>
      </c>
      <c r="C184" s="280" t="s">
        <v>521</v>
      </c>
      <c r="D184" s="280" t="s">
        <v>1273</v>
      </c>
      <c r="E184" s="275" t="s">
        <v>1274</v>
      </c>
      <c r="F184" s="330" t="s">
        <v>1274</v>
      </c>
      <c r="G184" s="283" t="s">
        <v>1275</v>
      </c>
      <c r="H184" s="280" t="s">
        <v>1276</v>
      </c>
      <c r="I184" s="280" t="s">
        <v>235</v>
      </c>
      <c r="J184" s="280" t="s">
        <v>1273</v>
      </c>
      <c r="K184" s="274" t="s">
        <v>1277</v>
      </c>
      <c r="L184" s="286" t="s">
        <v>1277</v>
      </c>
      <c r="M184" s="280" t="s">
        <v>14839</v>
      </c>
    </row>
    <row r="185" spans="1:13">
      <c r="A185" s="280" t="str">
        <f t="shared" si="12"/>
        <v>DeclarationB41</v>
      </c>
      <c r="B185" s="280" t="s">
        <v>991</v>
      </c>
      <c r="C185" s="280" t="s">
        <v>522</v>
      </c>
      <c r="D185" s="280" t="s">
        <v>1278</v>
      </c>
      <c r="E185" s="275" t="s">
        <v>13453</v>
      </c>
      <c r="F185" s="330" t="s">
        <v>14428</v>
      </c>
      <c r="G185" s="283" t="s">
        <v>1279</v>
      </c>
      <c r="H185" s="280" t="s">
        <v>1280</v>
      </c>
      <c r="I185" s="280" t="s">
        <v>236</v>
      </c>
      <c r="J185" s="280" t="s">
        <v>1281</v>
      </c>
      <c r="K185" s="274" t="s">
        <v>1282</v>
      </c>
      <c r="L185" s="286" t="s">
        <v>1282</v>
      </c>
      <c r="M185" s="280" t="s">
        <v>14840</v>
      </c>
    </row>
    <row r="186" spans="1:13">
      <c r="A186" s="280" t="str">
        <f t="shared" si="12"/>
        <v>DeclarationB44</v>
      </c>
      <c r="B186" s="280" t="s">
        <v>991</v>
      </c>
      <c r="C186" s="280" t="s">
        <v>14120</v>
      </c>
      <c r="D186" s="280" t="s">
        <v>1262</v>
      </c>
      <c r="E186" s="275" t="s">
        <v>13451</v>
      </c>
      <c r="F186" s="330" t="s">
        <v>14426</v>
      </c>
      <c r="G186" s="283" t="s">
        <v>1263</v>
      </c>
      <c r="H186" s="280" t="s">
        <v>1264</v>
      </c>
      <c r="I186" s="280" t="s">
        <v>233</v>
      </c>
      <c r="J186" s="280" t="s">
        <v>1265</v>
      </c>
      <c r="K186" s="274" t="s">
        <v>1266</v>
      </c>
      <c r="L186" s="286" t="s">
        <v>1266</v>
      </c>
      <c r="M186" s="280" t="s">
        <v>14837</v>
      </c>
    </row>
    <row r="187" spans="1:13">
      <c r="A187" s="280" t="str">
        <f t="shared" si="12"/>
        <v>DeclarationB45</v>
      </c>
      <c r="B187" s="280" t="s">
        <v>991</v>
      </c>
      <c r="C187" s="280" t="s">
        <v>14121</v>
      </c>
      <c r="D187" s="280" t="s">
        <v>1267</v>
      </c>
      <c r="E187" s="275" t="s">
        <v>13452</v>
      </c>
      <c r="F187" s="330" t="s">
        <v>14427</v>
      </c>
      <c r="G187" s="283" t="s">
        <v>1268</v>
      </c>
      <c r="H187" s="280" t="s">
        <v>1269</v>
      </c>
      <c r="I187" s="280" t="s">
        <v>234</v>
      </c>
      <c r="J187" s="280" t="s">
        <v>1270</v>
      </c>
      <c r="K187" s="274" t="s">
        <v>1271</v>
      </c>
      <c r="L187" s="286" t="s">
        <v>1272</v>
      </c>
      <c r="M187" s="280" t="s">
        <v>14838</v>
      </c>
    </row>
    <row r="188" spans="1:13">
      <c r="A188" s="280" t="str">
        <f t="shared" si="12"/>
        <v>DeclarationB46</v>
      </c>
      <c r="B188" s="280" t="s">
        <v>991</v>
      </c>
      <c r="C188" s="280" t="s">
        <v>14122</v>
      </c>
      <c r="D188" s="280" t="s">
        <v>1273</v>
      </c>
      <c r="E188" s="275" t="s">
        <v>1274</v>
      </c>
      <c r="F188" s="330" t="s">
        <v>1274</v>
      </c>
      <c r="G188" s="283" t="s">
        <v>1275</v>
      </c>
      <c r="H188" s="280" t="s">
        <v>1276</v>
      </c>
      <c r="I188" s="280" t="s">
        <v>235</v>
      </c>
      <c r="J188" s="280" t="s">
        <v>1273</v>
      </c>
      <c r="K188" s="274" t="s">
        <v>1277</v>
      </c>
      <c r="L188" s="286" t="s">
        <v>1277</v>
      </c>
      <c r="M188" s="280" t="s">
        <v>14839</v>
      </c>
    </row>
    <row r="189" spans="1:13">
      <c r="A189" s="280" t="str">
        <f t="shared" si="12"/>
        <v>DeclarationB47</v>
      </c>
      <c r="B189" s="280" t="s">
        <v>991</v>
      </c>
      <c r="C189" s="280" t="s">
        <v>14123</v>
      </c>
      <c r="D189" s="280" t="s">
        <v>1278</v>
      </c>
      <c r="E189" s="275" t="s">
        <v>13453</v>
      </c>
      <c r="F189" s="330" t="s">
        <v>14428</v>
      </c>
      <c r="G189" s="283" t="s">
        <v>1279</v>
      </c>
      <c r="H189" s="280" t="s">
        <v>1280</v>
      </c>
      <c r="I189" s="280" t="s">
        <v>236</v>
      </c>
      <c r="J189" s="280" t="s">
        <v>1281</v>
      </c>
      <c r="K189" s="274" t="s">
        <v>1282</v>
      </c>
      <c r="L189" s="286" t="s">
        <v>1282</v>
      </c>
      <c r="M189" s="280" t="s">
        <v>14840</v>
      </c>
    </row>
    <row r="190" spans="1:13">
      <c r="A190" s="280" t="str">
        <f t="shared" si="12"/>
        <v>DeclarationAth</v>
      </c>
      <c r="B190" s="280" t="s">
        <v>991</v>
      </c>
      <c r="C190" s="280" t="s">
        <v>1283</v>
      </c>
      <c r="D190" s="280" t="s">
        <v>833</v>
      </c>
      <c r="E190" s="246" t="s">
        <v>13454</v>
      </c>
      <c r="F190" s="330" t="s">
        <v>14429</v>
      </c>
      <c r="G190" s="283" t="s">
        <v>927</v>
      </c>
      <c r="H190" s="280" t="s">
        <v>928</v>
      </c>
      <c r="I190" s="280" t="s">
        <v>929</v>
      </c>
      <c r="J190" s="280" t="s">
        <v>1246</v>
      </c>
      <c r="K190" s="274" t="s">
        <v>930</v>
      </c>
      <c r="L190" s="286" t="s">
        <v>452</v>
      </c>
      <c r="M190" s="280" t="s">
        <v>14841</v>
      </c>
    </row>
    <row r="191" spans="1:13">
      <c r="A191" s="280" t="str">
        <f t="shared" si="12"/>
        <v>DeclarationB96</v>
      </c>
      <c r="B191" s="280" t="s">
        <v>991</v>
      </c>
      <c r="C191" s="280" t="s">
        <v>12474</v>
      </c>
      <c r="D191" s="280" t="s">
        <v>488</v>
      </c>
      <c r="E191" s="246" t="s">
        <v>13455</v>
      </c>
      <c r="F191" s="330" t="s">
        <v>14430</v>
      </c>
      <c r="G191" s="283" t="s">
        <v>549</v>
      </c>
      <c r="H191" s="280" t="s">
        <v>378</v>
      </c>
      <c r="I191" s="280" t="s">
        <v>237</v>
      </c>
      <c r="J191" s="280" t="s">
        <v>16</v>
      </c>
      <c r="K191" s="274" t="s">
        <v>269</v>
      </c>
      <c r="L191" s="286" t="s">
        <v>179</v>
      </c>
      <c r="M191" s="280" t="s">
        <v>14842</v>
      </c>
    </row>
    <row r="192" spans="1:13">
      <c r="A192" s="280" t="str">
        <f t="shared" si="12"/>
        <v>DeclarationB97</v>
      </c>
      <c r="B192" s="280" t="s">
        <v>991</v>
      </c>
      <c r="C192" s="280" t="s">
        <v>12475</v>
      </c>
      <c r="D192" s="280" t="s">
        <v>489</v>
      </c>
      <c r="E192" s="246" t="s">
        <v>13456</v>
      </c>
      <c r="F192" s="330" t="s">
        <v>14431</v>
      </c>
      <c r="G192" s="283" t="s">
        <v>550</v>
      </c>
      <c r="H192" s="280" t="s">
        <v>489</v>
      </c>
      <c r="I192" s="280" t="s">
        <v>238</v>
      </c>
      <c r="J192" s="280" t="s">
        <v>17</v>
      </c>
      <c r="K192" s="274" t="s">
        <v>489</v>
      </c>
      <c r="L192" s="286" t="s">
        <v>180</v>
      </c>
      <c r="M192" s="280" t="s">
        <v>14843</v>
      </c>
    </row>
    <row r="193" spans="1:13">
      <c r="A193" s="280" t="str">
        <f t="shared" si="12"/>
        <v>DeclarationB98</v>
      </c>
      <c r="B193" s="280" t="s">
        <v>991</v>
      </c>
      <c r="C193" s="280" t="s">
        <v>12476</v>
      </c>
      <c r="D193" s="280" t="s">
        <v>490</v>
      </c>
      <c r="E193" s="275" t="s">
        <v>13457</v>
      </c>
      <c r="F193" s="330" t="s">
        <v>14432</v>
      </c>
      <c r="G193" s="283" t="s">
        <v>551</v>
      </c>
      <c r="H193" s="280" t="s">
        <v>379</v>
      </c>
      <c r="I193" s="280" t="s">
        <v>239</v>
      </c>
      <c r="J193" s="280" t="s">
        <v>18</v>
      </c>
      <c r="K193" s="274" t="s">
        <v>270</v>
      </c>
      <c r="L193" s="286" t="s">
        <v>181</v>
      </c>
      <c r="M193" s="280" t="s">
        <v>14844</v>
      </c>
    </row>
    <row r="194" spans="1:13" ht="14.4">
      <c r="A194" s="280" t="str">
        <f t="shared" si="12"/>
        <v>DeclarationB99</v>
      </c>
      <c r="B194" s="280" t="s">
        <v>991</v>
      </c>
      <c r="C194" s="280" t="s">
        <v>12477</v>
      </c>
      <c r="D194" s="245">
        <v>1</v>
      </c>
      <c r="E194" s="248">
        <v>1</v>
      </c>
      <c r="F194" s="324">
        <v>1</v>
      </c>
      <c r="G194" s="342">
        <v>1</v>
      </c>
      <c r="H194" s="245" t="s">
        <v>12523</v>
      </c>
      <c r="I194" s="235">
        <v>1</v>
      </c>
      <c r="J194" s="235">
        <v>1</v>
      </c>
      <c r="K194" s="243">
        <v>1</v>
      </c>
      <c r="L194" s="293">
        <v>1</v>
      </c>
      <c r="M194" s="235" t="s">
        <v>12524</v>
      </c>
    </row>
    <row r="195" spans="1:13" ht="14.4">
      <c r="A195" s="280" t="str">
        <f t="shared" si="12"/>
        <v>DeclarationB100</v>
      </c>
      <c r="B195" s="280" t="s">
        <v>991</v>
      </c>
      <c r="C195" s="280" t="s">
        <v>12478</v>
      </c>
      <c r="D195" s="236" t="s">
        <v>2504</v>
      </c>
      <c r="E195" s="275" t="s">
        <v>13458</v>
      </c>
      <c r="F195" s="326" t="s">
        <v>14433</v>
      </c>
      <c r="G195" s="343" t="s">
        <v>14516</v>
      </c>
      <c r="H195" s="295" t="s">
        <v>12516</v>
      </c>
      <c r="I195" s="294" t="s">
        <v>14623</v>
      </c>
      <c r="J195" s="294" t="s">
        <v>14956</v>
      </c>
      <c r="K195" s="296" t="s">
        <v>14680</v>
      </c>
      <c r="L195" s="297" t="s">
        <v>12522</v>
      </c>
      <c r="M195" s="295" t="s">
        <v>12521</v>
      </c>
    </row>
    <row r="196" spans="1:13" ht="14.4">
      <c r="A196" s="280" t="str">
        <f t="shared" si="12"/>
        <v>DeclarationB101</v>
      </c>
      <c r="B196" s="280" t="s">
        <v>991</v>
      </c>
      <c r="C196" s="280" t="s">
        <v>12479</v>
      </c>
      <c r="D196" s="236" t="s">
        <v>2505</v>
      </c>
      <c r="E196" s="275" t="s">
        <v>13459</v>
      </c>
      <c r="F196" s="326" t="s">
        <v>14434</v>
      </c>
      <c r="G196" s="343" t="s">
        <v>14517</v>
      </c>
      <c r="H196" s="295" t="s">
        <v>12517</v>
      </c>
      <c r="I196" s="294" t="s">
        <v>14624</v>
      </c>
      <c r="J196" s="294" t="s">
        <v>14957</v>
      </c>
      <c r="K196" s="296" t="s">
        <v>14681</v>
      </c>
      <c r="L196" s="298" t="s">
        <v>13539</v>
      </c>
      <c r="M196" s="294" t="s">
        <v>14845</v>
      </c>
    </row>
    <row r="197" spans="1:13" ht="14.4">
      <c r="A197" s="280" t="str">
        <f t="shared" si="12"/>
        <v>DeclarationB102</v>
      </c>
      <c r="B197" s="280" t="s">
        <v>991</v>
      </c>
      <c r="C197" s="280" t="s">
        <v>12480</v>
      </c>
      <c r="D197" s="236" t="s">
        <v>2506</v>
      </c>
      <c r="E197" s="275" t="s">
        <v>13460</v>
      </c>
      <c r="F197" s="326" t="s">
        <v>14435</v>
      </c>
      <c r="G197" s="343" t="s">
        <v>14518</v>
      </c>
      <c r="H197" s="295" t="s">
        <v>12518</v>
      </c>
      <c r="I197" s="294" t="s">
        <v>14625</v>
      </c>
      <c r="J197" s="294" t="s">
        <v>14958</v>
      </c>
      <c r="K197" s="296" t="s">
        <v>14682</v>
      </c>
      <c r="L197" s="298" t="s">
        <v>13540</v>
      </c>
      <c r="M197" s="294" t="s">
        <v>14846</v>
      </c>
    </row>
    <row r="198" spans="1:13" ht="14.4">
      <c r="A198" s="280" t="str">
        <f t="shared" si="12"/>
        <v>DeclarationB103</v>
      </c>
      <c r="B198" s="280" t="s">
        <v>991</v>
      </c>
      <c r="C198" s="280" t="s">
        <v>12481</v>
      </c>
      <c r="D198" s="236" t="s">
        <v>2507</v>
      </c>
      <c r="E198" s="275" t="s">
        <v>13461</v>
      </c>
      <c r="F198" s="326" t="s">
        <v>14436</v>
      </c>
      <c r="G198" s="343" t="s">
        <v>14519</v>
      </c>
      <c r="H198" s="294" t="s">
        <v>14569</v>
      </c>
      <c r="I198" s="294" t="s">
        <v>14626</v>
      </c>
      <c r="J198" s="294" t="s">
        <v>14959</v>
      </c>
      <c r="K198" s="296" t="s">
        <v>14683</v>
      </c>
      <c r="L198" s="298" t="s">
        <v>13541</v>
      </c>
      <c r="M198" s="294" t="s">
        <v>14847</v>
      </c>
    </row>
    <row r="199" spans="1:13">
      <c r="A199" s="280" t="str">
        <f t="shared" si="12"/>
        <v>DeclarationB104</v>
      </c>
      <c r="B199" s="280" t="s">
        <v>991</v>
      </c>
      <c r="C199" s="280" t="s">
        <v>14057</v>
      </c>
      <c r="D199" s="280" t="s">
        <v>491</v>
      </c>
      <c r="E199" s="246" t="s">
        <v>13462</v>
      </c>
      <c r="F199" s="330" t="s">
        <v>14437</v>
      </c>
      <c r="G199" s="283" t="s">
        <v>552</v>
      </c>
      <c r="H199" s="280" t="s">
        <v>380</v>
      </c>
      <c r="I199" s="280" t="s">
        <v>240</v>
      </c>
      <c r="J199" s="280" t="s">
        <v>19</v>
      </c>
      <c r="K199" s="274" t="s">
        <v>271</v>
      </c>
      <c r="L199" s="286" t="s">
        <v>182</v>
      </c>
      <c r="M199" s="280" t="s">
        <v>14848</v>
      </c>
    </row>
    <row r="200" spans="1:13" ht="14.4">
      <c r="A200" s="280" t="str">
        <f t="shared" si="12"/>
        <v>DeclarationB105</v>
      </c>
      <c r="B200" s="280" t="s">
        <v>991</v>
      </c>
      <c r="C200" s="280" t="s">
        <v>14058</v>
      </c>
      <c r="D200" s="237" t="s">
        <v>12472</v>
      </c>
      <c r="E200" s="247" t="s">
        <v>14238</v>
      </c>
      <c r="F200" s="327" t="s">
        <v>14438</v>
      </c>
      <c r="G200" s="336" t="s">
        <v>14520</v>
      </c>
      <c r="H200" s="299" t="s">
        <v>14570</v>
      </c>
      <c r="I200" s="299" t="s">
        <v>14627</v>
      </c>
      <c r="J200" s="299" t="s">
        <v>14960</v>
      </c>
      <c r="K200" s="289" t="s">
        <v>14684</v>
      </c>
      <c r="L200" s="300" t="s">
        <v>12519</v>
      </c>
      <c r="M200" s="299" t="s">
        <v>14849</v>
      </c>
    </row>
    <row r="201" spans="1:13" ht="14.4">
      <c r="A201" s="280" t="str">
        <f t="shared" si="12"/>
        <v>DeclarationB106</v>
      </c>
      <c r="B201" s="280" t="s">
        <v>991</v>
      </c>
      <c r="C201" s="280" t="s">
        <v>14059</v>
      </c>
      <c r="D201" s="237" t="s">
        <v>12473</v>
      </c>
      <c r="E201" s="247" t="s">
        <v>14239</v>
      </c>
      <c r="F201" s="327" t="s">
        <v>14439</v>
      </c>
      <c r="G201" s="336" t="s">
        <v>14521</v>
      </c>
      <c r="H201" s="299" t="s">
        <v>14571</v>
      </c>
      <c r="I201" s="299" t="s">
        <v>14628</v>
      </c>
      <c r="J201" s="299" t="s">
        <v>14961</v>
      </c>
      <c r="K201" s="289" t="s">
        <v>14685</v>
      </c>
      <c r="L201" s="300" t="s">
        <v>12520</v>
      </c>
      <c r="M201" s="299" t="s">
        <v>14850</v>
      </c>
    </row>
    <row r="202" spans="1:13" ht="14.4">
      <c r="A202" s="280" t="str">
        <f t="shared" si="12"/>
        <v>DeclarationB107</v>
      </c>
      <c r="B202" s="280" t="s">
        <v>991</v>
      </c>
      <c r="C202" s="280" t="s">
        <v>14060</v>
      </c>
      <c r="D202" s="237" t="s">
        <v>489</v>
      </c>
      <c r="E202" s="247" t="s">
        <v>13456</v>
      </c>
      <c r="F202" s="327" t="s">
        <v>14440</v>
      </c>
      <c r="G202" s="336" t="s">
        <v>14522</v>
      </c>
      <c r="H202" s="299" t="s">
        <v>14572</v>
      </c>
      <c r="I202" s="299" t="s">
        <v>14629</v>
      </c>
      <c r="J202" s="299" t="s">
        <v>14962</v>
      </c>
      <c r="K202" s="289" t="s">
        <v>14522</v>
      </c>
      <c r="L202" s="301" t="s">
        <v>14737</v>
      </c>
      <c r="M202" s="299" t="s">
        <v>14851</v>
      </c>
    </row>
    <row r="203" spans="1:13">
      <c r="A203" s="280" t="str">
        <f t="shared" si="12"/>
        <v>DeclarationB108</v>
      </c>
      <c r="B203" s="280" t="s">
        <v>991</v>
      </c>
      <c r="C203" s="280" t="s">
        <v>14061</v>
      </c>
      <c r="D203" s="237" t="s">
        <v>14064</v>
      </c>
      <c r="E203" s="237" t="s">
        <v>14240</v>
      </c>
      <c r="F203" s="322" t="s">
        <v>14441</v>
      </c>
      <c r="G203" s="344" t="s">
        <v>15296</v>
      </c>
      <c r="H203" s="237" t="s">
        <v>14573</v>
      </c>
      <c r="I203" s="237" t="s">
        <v>14630</v>
      </c>
      <c r="J203" s="237" t="s">
        <v>14981</v>
      </c>
      <c r="K203" s="237" t="s">
        <v>14686</v>
      </c>
      <c r="L203" s="237" t="s">
        <v>14738</v>
      </c>
      <c r="M203" s="237" t="s">
        <v>14852</v>
      </c>
    </row>
    <row r="204" spans="1:13">
      <c r="A204" s="280" t="str">
        <f t="shared" si="12"/>
        <v>DeclarationB109</v>
      </c>
      <c r="B204" s="280" t="s">
        <v>991</v>
      </c>
      <c r="C204" s="280" t="s">
        <v>14062</v>
      </c>
      <c r="D204" s="237" t="s">
        <v>14066</v>
      </c>
      <c r="E204" s="237" t="s">
        <v>14241</v>
      </c>
      <c r="F204" s="322" t="s">
        <v>14442</v>
      </c>
      <c r="G204" s="344" t="s">
        <v>15297</v>
      </c>
      <c r="H204" s="237" t="s">
        <v>14574</v>
      </c>
      <c r="I204" s="237" t="s">
        <v>14631</v>
      </c>
      <c r="J204" s="237" t="s">
        <v>14982</v>
      </c>
      <c r="K204" s="237" t="s">
        <v>14687</v>
      </c>
      <c r="L204" s="237" t="s">
        <v>14739</v>
      </c>
      <c r="M204" s="237" t="s">
        <v>14853</v>
      </c>
    </row>
    <row r="205" spans="1:13">
      <c r="A205" s="280" t="str">
        <f t="shared" si="12"/>
        <v>DeclarationB110</v>
      </c>
      <c r="B205" s="280" t="s">
        <v>991</v>
      </c>
      <c r="C205" s="280" t="s">
        <v>14063</v>
      </c>
      <c r="D205" s="237" t="s">
        <v>14067</v>
      </c>
      <c r="E205" s="237" t="s">
        <v>14242</v>
      </c>
      <c r="F205" s="322" t="s">
        <v>14443</v>
      </c>
      <c r="G205" s="344" t="s">
        <v>15298</v>
      </c>
      <c r="H205" s="237" t="s">
        <v>14575</v>
      </c>
      <c r="I205" s="237" t="s">
        <v>14632</v>
      </c>
      <c r="J205" s="237" t="s">
        <v>14983</v>
      </c>
      <c r="K205" s="237" t="s">
        <v>14688</v>
      </c>
      <c r="L205" s="237" t="s">
        <v>14740</v>
      </c>
      <c r="M205" s="237" t="s">
        <v>14854</v>
      </c>
    </row>
    <row r="206" spans="1:13" ht="14.4">
      <c r="A206" s="280" t="str">
        <f t="shared" ref="A206" si="13">B206&amp;C206</f>
        <v>DeclarationB111</v>
      </c>
      <c r="B206" s="280" t="s">
        <v>991</v>
      </c>
      <c r="C206" s="280" t="s">
        <v>14065</v>
      </c>
      <c r="D206" s="237" t="s">
        <v>489</v>
      </c>
      <c r="E206" s="247" t="s">
        <v>13456</v>
      </c>
      <c r="F206" s="327" t="s">
        <v>14440</v>
      </c>
      <c r="G206" s="336" t="s">
        <v>14522</v>
      </c>
      <c r="H206" s="299" t="s">
        <v>14572</v>
      </c>
      <c r="I206" s="299" t="s">
        <v>14629</v>
      </c>
      <c r="J206" s="299" t="s">
        <v>14962</v>
      </c>
      <c r="K206" s="289" t="s">
        <v>14522</v>
      </c>
      <c r="L206" s="301" t="s">
        <v>14737</v>
      </c>
      <c r="M206" s="299" t="s">
        <v>14851</v>
      </c>
    </row>
    <row r="207" spans="1:13" ht="409.5" customHeight="1">
      <c r="A207" s="280" t="str">
        <f t="shared" ref="A207" si="14">B207&amp;C207</f>
        <v>Smelter Look-upA1</v>
      </c>
      <c r="B207" s="280" t="s">
        <v>12502</v>
      </c>
      <c r="C207" s="280" t="s">
        <v>631</v>
      </c>
      <c r="D207" s="216" t="s">
        <v>13253</v>
      </c>
      <c r="E207" s="313" t="s">
        <v>14243</v>
      </c>
      <c r="F207" s="325" t="s">
        <v>15106</v>
      </c>
      <c r="G207" s="336" t="s">
        <v>14523</v>
      </c>
      <c r="H207" s="288" t="s">
        <v>15107</v>
      </c>
      <c r="I207" s="288" t="s">
        <v>15108</v>
      </c>
      <c r="J207" s="288" t="s">
        <v>13557</v>
      </c>
      <c r="K207" s="289" t="s">
        <v>15109</v>
      </c>
      <c r="L207" s="302" t="s">
        <v>15110</v>
      </c>
      <c r="M207" s="288" t="s">
        <v>14855</v>
      </c>
    </row>
    <row r="208" spans="1:13" ht="27.6">
      <c r="A208" s="280" t="str">
        <f t="shared" ref="A208:A217" si="15">B208&amp;C208</f>
        <v>Smelter Look-upA4</v>
      </c>
      <c r="B208" s="280" t="s">
        <v>12502</v>
      </c>
      <c r="C208" s="280" t="s">
        <v>634</v>
      </c>
      <c r="D208" s="280" t="s">
        <v>845</v>
      </c>
      <c r="E208" s="247" t="s">
        <v>1086</v>
      </c>
      <c r="F208" s="330" t="s">
        <v>1086</v>
      </c>
      <c r="G208" s="283" t="s">
        <v>1087</v>
      </c>
      <c r="H208" s="280" t="s">
        <v>1284</v>
      </c>
      <c r="I208" s="280" t="s">
        <v>845</v>
      </c>
      <c r="J208" s="197" t="s">
        <v>940</v>
      </c>
      <c r="K208" s="274" t="s">
        <v>845</v>
      </c>
      <c r="L208" s="286" t="s">
        <v>456</v>
      </c>
      <c r="M208" s="280" t="s">
        <v>845</v>
      </c>
    </row>
    <row r="209" spans="1:13" ht="27.6">
      <c r="A209" s="280" t="str">
        <f t="shared" si="15"/>
        <v>Smelter Look-upB4</v>
      </c>
      <c r="B209" s="280" t="s">
        <v>12502</v>
      </c>
      <c r="C209" s="280" t="s">
        <v>950</v>
      </c>
      <c r="D209" s="280" t="s">
        <v>12500</v>
      </c>
      <c r="E209" s="247" t="s">
        <v>14022</v>
      </c>
      <c r="F209" s="325" t="s">
        <v>14444</v>
      </c>
      <c r="G209" s="336" t="s">
        <v>14524</v>
      </c>
      <c r="H209" s="288" t="s">
        <v>14576</v>
      </c>
      <c r="I209" s="288" t="s">
        <v>14633</v>
      </c>
      <c r="J209" s="328" t="s">
        <v>15387</v>
      </c>
      <c r="K209" s="289" t="s">
        <v>14689</v>
      </c>
      <c r="L209" s="290" t="s">
        <v>13542</v>
      </c>
      <c r="M209" s="288" t="s">
        <v>14856</v>
      </c>
    </row>
    <row r="210" spans="1:13" ht="27.6">
      <c r="A210" s="280" t="str">
        <f t="shared" si="15"/>
        <v>Smelter Look-up</v>
      </c>
      <c r="B210" s="280" t="s">
        <v>12502</v>
      </c>
      <c r="D210" s="280" t="s">
        <v>13229</v>
      </c>
      <c r="E210" s="247" t="s">
        <v>13463</v>
      </c>
      <c r="F210" s="330" t="s">
        <v>14445</v>
      </c>
      <c r="G210" s="283" t="s">
        <v>591</v>
      </c>
      <c r="H210" s="280" t="s">
        <v>383</v>
      </c>
      <c r="I210" s="280" t="s">
        <v>242</v>
      </c>
      <c r="J210" s="197" t="s">
        <v>1170</v>
      </c>
      <c r="K210" s="274" t="s">
        <v>1090</v>
      </c>
      <c r="L210" s="286" t="s">
        <v>623</v>
      </c>
      <c r="M210" s="280" t="s">
        <v>14857</v>
      </c>
    </row>
    <row r="211" spans="1:13" ht="27.6">
      <c r="A211" s="280" t="str">
        <f t="shared" si="15"/>
        <v>Smelter Look-upC4</v>
      </c>
      <c r="B211" s="280" t="s">
        <v>12502</v>
      </c>
      <c r="C211" s="280" t="s">
        <v>971</v>
      </c>
      <c r="D211" s="280" t="s">
        <v>902</v>
      </c>
      <c r="E211" s="275" t="s">
        <v>13464</v>
      </c>
      <c r="F211" s="330" t="s">
        <v>14446</v>
      </c>
      <c r="G211" s="283" t="s">
        <v>590</v>
      </c>
      <c r="H211" s="280" t="s">
        <v>382</v>
      </c>
      <c r="I211" s="280" t="s">
        <v>241</v>
      </c>
      <c r="J211" s="197" t="s">
        <v>1169</v>
      </c>
      <c r="K211" s="274" t="s">
        <v>272</v>
      </c>
      <c r="L211" s="286" t="s">
        <v>457</v>
      </c>
      <c r="M211" s="280" t="s">
        <v>14858</v>
      </c>
    </row>
    <row r="212" spans="1:13" ht="27.6">
      <c r="A212" s="280" t="str">
        <f t="shared" si="15"/>
        <v>Smelter Look-upD4</v>
      </c>
      <c r="B212" s="280" t="s">
        <v>12502</v>
      </c>
      <c r="C212" s="280" t="s">
        <v>1286</v>
      </c>
      <c r="D212" s="280" t="s">
        <v>901</v>
      </c>
      <c r="E212" s="278" t="s">
        <v>13465</v>
      </c>
      <c r="F212" s="330" t="s">
        <v>14447</v>
      </c>
      <c r="G212" s="283" t="s">
        <v>941</v>
      </c>
      <c r="H212" s="280" t="s">
        <v>384</v>
      </c>
      <c r="I212" s="280" t="s">
        <v>243</v>
      </c>
      <c r="J212" s="197" t="s">
        <v>12798</v>
      </c>
      <c r="K212" s="274" t="s">
        <v>273</v>
      </c>
      <c r="L212" s="286" t="s">
        <v>622</v>
      </c>
      <c r="M212" s="280" t="s">
        <v>14859</v>
      </c>
    </row>
    <row r="213" spans="1:13" ht="27.6">
      <c r="A213" s="280" t="str">
        <f t="shared" si="15"/>
        <v>Smelter Look-upE4</v>
      </c>
      <c r="B213" s="280" t="s">
        <v>12502</v>
      </c>
      <c r="C213" s="280" t="s">
        <v>1287</v>
      </c>
      <c r="D213" s="280" t="s">
        <v>12498</v>
      </c>
      <c r="E213" s="247" t="s">
        <v>14244</v>
      </c>
      <c r="F213" s="325" t="s">
        <v>14448</v>
      </c>
      <c r="G213" s="336" t="s">
        <v>589</v>
      </c>
      <c r="H213" s="288" t="s">
        <v>14577</v>
      </c>
      <c r="I213" s="288" t="s">
        <v>14634</v>
      </c>
      <c r="J213" s="328" t="s">
        <v>15388</v>
      </c>
      <c r="K213" s="289" t="s">
        <v>14690</v>
      </c>
      <c r="L213" s="290" t="s">
        <v>13543</v>
      </c>
      <c r="M213" s="288" t="s">
        <v>14860</v>
      </c>
    </row>
    <row r="214" spans="1:13" ht="27.6">
      <c r="A214" s="280" t="str">
        <f t="shared" si="15"/>
        <v>Smelter Look-upF4</v>
      </c>
      <c r="B214" s="280" t="s">
        <v>12502</v>
      </c>
      <c r="C214" s="280" t="s">
        <v>1297</v>
      </c>
      <c r="D214" s="280" t="s">
        <v>469</v>
      </c>
      <c r="E214" s="246" t="s">
        <v>13466</v>
      </c>
      <c r="F214" s="330"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30"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30"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30"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30"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30"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5" t="s">
        <v>14444</v>
      </c>
      <c r="G220" s="336" t="s">
        <v>14524</v>
      </c>
      <c r="H220" s="288" t="s">
        <v>14576</v>
      </c>
      <c r="I220" s="288" t="s">
        <v>14633</v>
      </c>
      <c r="J220" s="328" t="s">
        <v>15387</v>
      </c>
      <c r="K220" s="289" t="s">
        <v>14689</v>
      </c>
      <c r="L220" s="290" t="s">
        <v>13542</v>
      </c>
      <c r="M220" s="288" t="s">
        <v>14856</v>
      </c>
    </row>
    <row r="221" spans="1:13" ht="44.25" customHeight="1">
      <c r="A221" s="280" t="str">
        <f t="shared" si="16"/>
        <v>Smelter ListD4</v>
      </c>
      <c r="B221" s="280" t="s">
        <v>1239</v>
      </c>
      <c r="C221" s="280" t="s">
        <v>1286</v>
      </c>
      <c r="D221" s="288" t="s">
        <v>12786</v>
      </c>
      <c r="E221" s="247" t="s">
        <v>12787</v>
      </c>
      <c r="F221" s="325" t="s">
        <v>14454</v>
      </c>
      <c r="G221" s="335"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30"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30"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30" t="s">
        <v>14451</v>
      </c>
      <c r="G224" s="283" t="s">
        <v>555</v>
      </c>
      <c r="H224" s="280" t="s">
        <v>1136</v>
      </c>
      <c r="I224" s="280" t="s">
        <v>246</v>
      </c>
      <c r="J224" s="197" t="s">
        <v>12796</v>
      </c>
      <c r="K224" s="274" t="s">
        <v>276</v>
      </c>
      <c r="L224" s="303" t="s">
        <v>185</v>
      </c>
      <c r="M224" s="280" t="s">
        <v>14863</v>
      </c>
    </row>
    <row r="225" spans="1:13">
      <c r="A225" s="280" t="str">
        <f t="shared" si="16"/>
        <v>Smelter ListJ4</v>
      </c>
      <c r="B225" s="280" t="s">
        <v>1239</v>
      </c>
      <c r="C225" s="280" t="s">
        <v>1291</v>
      </c>
      <c r="D225" s="280" t="s">
        <v>900</v>
      </c>
      <c r="E225" s="275" t="s">
        <v>13469</v>
      </c>
      <c r="F225" s="330" t="s">
        <v>14452</v>
      </c>
      <c r="G225" s="283" t="s">
        <v>1137</v>
      </c>
      <c r="H225" s="280" t="s">
        <v>1138</v>
      </c>
      <c r="I225" s="280" t="s">
        <v>247</v>
      </c>
      <c r="J225" s="197" t="s">
        <v>12797</v>
      </c>
      <c r="K225" s="274" t="s">
        <v>110</v>
      </c>
      <c r="L225" s="303" t="s">
        <v>621</v>
      </c>
      <c r="M225" s="280" t="s">
        <v>14864</v>
      </c>
    </row>
    <row r="226" spans="1:13">
      <c r="A226" s="280" t="str">
        <f t="shared" si="16"/>
        <v>Smelter ListK4</v>
      </c>
      <c r="B226" s="280" t="s">
        <v>1239</v>
      </c>
      <c r="C226" s="280" t="s">
        <v>1292</v>
      </c>
      <c r="D226" s="280" t="s">
        <v>473</v>
      </c>
      <c r="E226" s="246" t="s">
        <v>13471</v>
      </c>
      <c r="F226" s="330" t="s">
        <v>14456</v>
      </c>
      <c r="G226" s="283" t="s">
        <v>556</v>
      </c>
      <c r="H226" s="280" t="s">
        <v>1139</v>
      </c>
      <c r="I226" s="280" t="s">
        <v>248</v>
      </c>
      <c r="J226" s="197" t="s">
        <v>1028</v>
      </c>
      <c r="K226" s="274" t="s">
        <v>1140</v>
      </c>
      <c r="L226" s="303" t="s">
        <v>454</v>
      </c>
      <c r="M226" s="280" t="s">
        <v>14867</v>
      </c>
    </row>
    <row r="227" spans="1:13">
      <c r="A227" s="280" t="str">
        <f t="shared" si="16"/>
        <v>Smelter ListL4</v>
      </c>
      <c r="B227" s="280" t="s">
        <v>1239</v>
      </c>
      <c r="C227" s="280" t="s">
        <v>1293</v>
      </c>
      <c r="D227" s="280" t="s">
        <v>474</v>
      </c>
      <c r="E227" s="246" t="s">
        <v>13472</v>
      </c>
      <c r="F227" s="330" t="s">
        <v>14457</v>
      </c>
      <c r="G227" s="283" t="s">
        <v>557</v>
      </c>
      <c r="H227" s="280" t="s">
        <v>1141</v>
      </c>
      <c r="I227" s="280" t="s">
        <v>249</v>
      </c>
      <c r="J227" s="197" t="s">
        <v>20</v>
      </c>
      <c r="K227" s="274" t="s">
        <v>1142</v>
      </c>
      <c r="L227" s="286" t="s">
        <v>455</v>
      </c>
      <c r="M227" s="280" t="s">
        <v>14868</v>
      </c>
    </row>
    <row r="228" spans="1:13">
      <c r="A228" s="280" t="str">
        <f t="shared" si="16"/>
        <v>Smelter ListM4</v>
      </c>
      <c r="B228" s="280" t="s">
        <v>1239</v>
      </c>
      <c r="C228" s="280" t="s">
        <v>1294</v>
      </c>
      <c r="D228" s="280" t="s">
        <v>475</v>
      </c>
      <c r="E228" s="246" t="s">
        <v>13473</v>
      </c>
      <c r="F228" s="330" t="s">
        <v>14458</v>
      </c>
      <c r="G228" s="283" t="s">
        <v>558</v>
      </c>
      <c r="H228" s="280" t="s">
        <v>1143</v>
      </c>
      <c r="I228" s="280" t="s">
        <v>250</v>
      </c>
      <c r="J228" s="197" t="s">
        <v>21</v>
      </c>
      <c r="K228" s="274" t="s">
        <v>111</v>
      </c>
      <c r="L228" s="286" t="s">
        <v>186</v>
      </c>
      <c r="M228" s="280" t="s">
        <v>14869</v>
      </c>
    </row>
    <row r="229" spans="1:13" ht="41.4">
      <c r="A229" s="280" t="str">
        <f t="shared" si="16"/>
        <v>Smelter ListN4</v>
      </c>
      <c r="B229" s="280" t="s">
        <v>1239</v>
      </c>
      <c r="C229" s="280" t="s">
        <v>1295</v>
      </c>
      <c r="D229" s="280" t="s">
        <v>502</v>
      </c>
      <c r="E229" s="246" t="s">
        <v>13474</v>
      </c>
      <c r="F229" s="330" t="s">
        <v>14459</v>
      </c>
      <c r="G229" s="283" t="s">
        <v>559</v>
      </c>
      <c r="H229" s="165" t="s">
        <v>385</v>
      </c>
      <c r="I229" s="280" t="s">
        <v>251</v>
      </c>
      <c r="J229" s="197" t="s">
        <v>1353</v>
      </c>
      <c r="K229" s="274" t="s">
        <v>112</v>
      </c>
      <c r="L229" s="286" t="s">
        <v>187</v>
      </c>
      <c r="M229" s="280" t="s">
        <v>14870</v>
      </c>
    </row>
    <row r="230" spans="1:13" ht="41.4">
      <c r="A230" s="280" t="str">
        <f t="shared" si="16"/>
        <v>Smelter ListO4</v>
      </c>
      <c r="B230" s="280" t="s">
        <v>1239</v>
      </c>
      <c r="C230" s="280" t="s">
        <v>1296</v>
      </c>
      <c r="D230" s="280" t="s">
        <v>992</v>
      </c>
      <c r="E230" s="246" t="s">
        <v>13475</v>
      </c>
      <c r="F230" s="330" t="s">
        <v>14460</v>
      </c>
      <c r="G230" s="283" t="s">
        <v>560</v>
      </c>
      <c r="H230" s="280" t="s">
        <v>386</v>
      </c>
      <c r="I230" s="280" t="s">
        <v>252</v>
      </c>
      <c r="J230" s="197" t="s">
        <v>1370</v>
      </c>
      <c r="K230" s="274" t="s">
        <v>113</v>
      </c>
      <c r="L230" s="286" t="s">
        <v>188</v>
      </c>
      <c r="M230" s="280" t="s">
        <v>14871</v>
      </c>
    </row>
    <row r="231" spans="1:13" ht="55.2">
      <c r="A231" s="280" t="str">
        <f t="shared" si="16"/>
        <v>Smelter ListP4</v>
      </c>
      <c r="B231" s="280" t="s">
        <v>1239</v>
      </c>
      <c r="C231" s="280" t="s">
        <v>492</v>
      </c>
      <c r="D231" s="280" t="s">
        <v>501</v>
      </c>
      <c r="E231" s="246" t="s">
        <v>13476</v>
      </c>
      <c r="F231" s="330" t="s">
        <v>14461</v>
      </c>
      <c r="G231" s="283" t="s">
        <v>15299</v>
      </c>
      <c r="H231" s="280" t="s">
        <v>14578</v>
      </c>
      <c r="I231" s="280" t="s">
        <v>253</v>
      </c>
      <c r="J231" s="197" t="s">
        <v>1354</v>
      </c>
      <c r="K231" s="274" t="s">
        <v>114</v>
      </c>
      <c r="L231" s="286" t="s">
        <v>189</v>
      </c>
      <c r="M231" s="280" t="s">
        <v>14872</v>
      </c>
    </row>
    <row r="232" spans="1:13">
      <c r="A232" s="280" t="str">
        <f t="shared" si="16"/>
        <v>Smelter ListQ4</v>
      </c>
      <c r="B232" s="280" t="s">
        <v>1239</v>
      </c>
      <c r="C232" s="280" t="s">
        <v>500</v>
      </c>
      <c r="D232" s="280" t="s">
        <v>835</v>
      </c>
      <c r="E232" s="246" t="s">
        <v>863</v>
      </c>
      <c r="F232" s="330" t="s">
        <v>14425</v>
      </c>
      <c r="G232" s="283" t="s">
        <v>923</v>
      </c>
      <c r="H232" s="280" t="s">
        <v>924</v>
      </c>
      <c r="I232" s="280" t="s">
        <v>925</v>
      </c>
      <c r="J232" s="197" t="s">
        <v>1027</v>
      </c>
      <c r="K232" s="274" t="s">
        <v>926</v>
      </c>
      <c r="L232" s="286" t="s">
        <v>451</v>
      </c>
      <c r="M232" s="280" t="s">
        <v>14836</v>
      </c>
    </row>
    <row r="233" spans="1:13" ht="27.6">
      <c r="A233" s="280" t="str">
        <f t="shared" si="16"/>
        <v>Smelter ListJ2</v>
      </c>
      <c r="B233" s="280" t="s">
        <v>1239</v>
      </c>
      <c r="C233" s="280" t="s">
        <v>825</v>
      </c>
      <c r="D233" s="280" t="s">
        <v>13254</v>
      </c>
      <c r="E233" s="280" t="s">
        <v>14245</v>
      </c>
      <c r="F233" s="330" t="s">
        <v>14462</v>
      </c>
      <c r="G233" s="283" t="s">
        <v>14525</v>
      </c>
      <c r="H233" s="280" t="s">
        <v>15073</v>
      </c>
      <c r="I233" s="280" t="s">
        <v>15074</v>
      </c>
      <c r="J233" s="197" t="s">
        <v>15075</v>
      </c>
      <c r="K233" s="274" t="s">
        <v>13337</v>
      </c>
      <c r="L233" s="286" t="s">
        <v>15076</v>
      </c>
      <c r="M233" s="280" t="s">
        <v>14873</v>
      </c>
    </row>
    <row r="234" spans="1:13" ht="41.4">
      <c r="A234" s="280" t="str">
        <f t="shared" si="16"/>
        <v>Smelter ListB2</v>
      </c>
      <c r="B234" s="280" t="s">
        <v>1239</v>
      </c>
      <c r="C234" s="280" t="s">
        <v>995</v>
      </c>
      <c r="D234" s="304" t="s">
        <v>2439</v>
      </c>
      <c r="E234" s="280" t="s">
        <v>14246</v>
      </c>
      <c r="F234" s="330" t="s">
        <v>14463</v>
      </c>
      <c r="G234" s="283" t="s">
        <v>14526</v>
      </c>
      <c r="H234" s="280" t="s">
        <v>2444</v>
      </c>
      <c r="I234" s="280" t="s">
        <v>2446</v>
      </c>
      <c r="J234" s="280" t="s">
        <v>2447</v>
      </c>
      <c r="K234" s="283" t="s">
        <v>2449</v>
      </c>
      <c r="L234" s="292" t="s">
        <v>14741</v>
      </c>
      <c r="M234" s="280" t="s">
        <v>14874</v>
      </c>
    </row>
    <row r="235" spans="1:13" ht="409.6">
      <c r="A235" s="280" t="str">
        <f t="shared" si="16"/>
        <v>Smelter ListB3</v>
      </c>
      <c r="B235" s="280" t="s">
        <v>1239</v>
      </c>
      <c r="C235" s="280" t="s">
        <v>949</v>
      </c>
      <c r="D235" s="305" t="s">
        <v>13360</v>
      </c>
      <c r="E235" s="280" t="s">
        <v>14247</v>
      </c>
      <c r="F235" s="325" t="s">
        <v>15069</v>
      </c>
      <c r="G235" s="335" t="s">
        <v>14527</v>
      </c>
      <c r="H235" s="288" t="s">
        <v>15070</v>
      </c>
      <c r="I235" s="277" t="s">
        <v>15071</v>
      </c>
      <c r="J235" s="277" t="s">
        <v>13558</v>
      </c>
      <c r="K235" s="289" t="s">
        <v>14691</v>
      </c>
      <c r="L235" s="290" t="s">
        <v>14742</v>
      </c>
      <c r="M235" s="277" t="s">
        <v>15072</v>
      </c>
    </row>
    <row r="236" spans="1:13">
      <c r="A236" s="280" t="str">
        <f t="shared" si="16"/>
        <v>Smelter ListF4</v>
      </c>
      <c r="B236" s="280" t="s">
        <v>1239</v>
      </c>
      <c r="C236" s="280" t="s">
        <v>1297</v>
      </c>
      <c r="D236" s="280" t="s">
        <v>468</v>
      </c>
      <c r="E236" s="280" t="s">
        <v>14248</v>
      </c>
      <c r="F236" s="330" t="s">
        <v>14364</v>
      </c>
      <c r="G236" s="283" t="s">
        <v>589</v>
      </c>
      <c r="H236" s="280" t="s">
        <v>381</v>
      </c>
      <c r="I236" s="280" t="s">
        <v>254</v>
      </c>
      <c r="J236" s="197" t="s">
        <v>1168</v>
      </c>
      <c r="K236" s="274" t="s">
        <v>115</v>
      </c>
      <c r="L236" s="286" t="s">
        <v>71</v>
      </c>
      <c r="M236" s="280" t="s">
        <v>14875</v>
      </c>
    </row>
    <row r="237" spans="1:13">
      <c r="A237" s="280" t="str">
        <f t="shared" si="16"/>
        <v>Smelter ListG4</v>
      </c>
      <c r="B237" s="280" t="s">
        <v>1239</v>
      </c>
      <c r="C237" s="280" t="s">
        <v>1288</v>
      </c>
      <c r="D237" s="280" t="s">
        <v>469</v>
      </c>
      <c r="E237" s="280" t="s">
        <v>13466</v>
      </c>
      <c r="F237" s="330" t="s">
        <v>14449</v>
      </c>
      <c r="G237" s="283" t="s">
        <v>561</v>
      </c>
      <c r="H237" s="280" t="s">
        <v>387</v>
      </c>
      <c r="I237" s="280" t="s">
        <v>255</v>
      </c>
      <c r="J237" s="197" t="s">
        <v>1355</v>
      </c>
      <c r="K237" s="274" t="s">
        <v>116</v>
      </c>
      <c r="L237" s="286" t="s">
        <v>72</v>
      </c>
      <c r="M237" s="280" t="s">
        <v>14861</v>
      </c>
    </row>
    <row r="238" spans="1:13">
      <c r="A238" s="280" t="str">
        <f t="shared" si="16"/>
        <v>Smelter ListAH5</v>
      </c>
      <c r="B238" s="280" t="s">
        <v>1239</v>
      </c>
      <c r="C238" s="280" t="s">
        <v>12493</v>
      </c>
      <c r="D238" s="280" t="s">
        <v>488</v>
      </c>
      <c r="E238" s="280" t="s">
        <v>13455</v>
      </c>
      <c r="F238" s="330" t="s">
        <v>14430</v>
      </c>
      <c r="G238" s="283" t="s">
        <v>549</v>
      </c>
      <c r="H238" s="280" t="s">
        <v>378</v>
      </c>
      <c r="I238" s="280" t="s">
        <v>237</v>
      </c>
      <c r="J238" s="280" t="s">
        <v>16</v>
      </c>
      <c r="K238" s="274" t="s">
        <v>269</v>
      </c>
      <c r="L238" s="286" t="s">
        <v>179</v>
      </c>
      <c r="M238" s="280" t="s">
        <v>14842</v>
      </c>
    </row>
    <row r="239" spans="1:13">
      <c r="A239" s="280" t="str">
        <f t="shared" si="16"/>
        <v>Smelter ListAH6</v>
      </c>
      <c r="B239" s="280" t="s">
        <v>1239</v>
      </c>
      <c r="C239" s="280" t="s">
        <v>12494</v>
      </c>
      <c r="D239" s="280" t="s">
        <v>489</v>
      </c>
      <c r="E239" s="280" t="s">
        <v>13456</v>
      </c>
      <c r="F239" s="330" t="s">
        <v>14431</v>
      </c>
      <c r="G239" s="283" t="s">
        <v>550</v>
      </c>
      <c r="H239" s="280" t="s">
        <v>489</v>
      </c>
      <c r="I239" s="280" t="s">
        <v>238</v>
      </c>
      <c r="J239" s="280" t="s">
        <v>17</v>
      </c>
      <c r="K239" s="274" t="s">
        <v>489</v>
      </c>
      <c r="L239" s="286" t="s">
        <v>180</v>
      </c>
      <c r="M239" s="280" t="s">
        <v>14843</v>
      </c>
    </row>
    <row r="240" spans="1:13">
      <c r="A240" s="280" t="str">
        <f t="shared" si="16"/>
        <v>Smelter ListAH7</v>
      </c>
      <c r="B240" s="280" t="s">
        <v>1239</v>
      </c>
      <c r="C240" s="280" t="s">
        <v>12495</v>
      </c>
      <c r="D240" s="280" t="s">
        <v>490</v>
      </c>
      <c r="E240" s="280" t="s">
        <v>13457</v>
      </c>
      <c r="F240" s="330" t="s">
        <v>14432</v>
      </c>
      <c r="G240" s="283" t="s">
        <v>551</v>
      </c>
      <c r="H240" s="280" t="s">
        <v>379</v>
      </c>
      <c r="I240" s="280" t="s">
        <v>239</v>
      </c>
      <c r="J240" s="280" t="s">
        <v>18</v>
      </c>
      <c r="K240" s="274" t="s">
        <v>270</v>
      </c>
      <c r="L240" s="286" t="s">
        <v>181</v>
      </c>
      <c r="M240" s="280" t="s">
        <v>14844</v>
      </c>
    </row>
    <row r="241" spans="1:13" ht="55.2">
      <c r="A241" s="280" t="str">
        <f t="shared" si="16"/>
        <v>CheckerA1</v>
      </c>
      <c r="B241" s="280" t="s">
        <v>1240</v>
      </c>
      <c r="C241" s="280" t="s">
        <v>631</v>
      </c>
      <c r="D241" s="280" t="s">
        <v>13230</v>
      </c>
      <c r="E241" s="280" t="s">
        <v>14249</v>
      </c>
      <c r="F241" s="330" t="s">
        <v>14464</v>
      </c>
      <c r="G241" s="283" t="s">
        <v>1144</v>
      </c>
      <c r="H241" s="280" t="s">
        <v>388</v>
      </c>
      <c r="I241" s="280" t="s">
        <v>256</v>
      </c>
      <c r="J241" s="197" t="s">
        <v>1371</v>
      </c>
      <c r="K241" s="274" t="s">
        <v>1145</v>
      </c>
      <c r="L241" s="286" t="s">
        <v>1319</v>
      </c>
      <c r="M241" s="280" t="s">
        <v>14876</v>
      </c>
    </row>
    <row r="242" spans="1:13">
      <c r="A242" s="280" t="str">
        <f t="shared" si="16"/>
        <v>CheckerD1</v>
      </c>
      <c r="B242" s="280" t="s">
        <v>1240</v>
      </c>
      <c r="C242" s="280" t="s">
        <v>1298</v>
      </c>
      <c r="D242" s="280" t="s">
        <v>899</v>
      </c>
      <c r="E242" s="280" t="s">
        <v>14250</v>
      </c>
      <c r="F242" s="330" t="s">
        <v>14465</v>
      </c>
      <c r="G242" s="283" t="s">
        <v>1146</v>
      </c>
      <c r="H242" s="280" t="s">
        <v>1147</v>
      </c>
      <c r="I242" s="280" t="s">
        <v>257</v>
      </c>
      <c r="J242" s="280" t="s">
        <v>1372</v>
      </c>
      <c r="K242" s="274" t="s">
        <v>1148</v>
      </c>
      <c r="L242" s="286" t="s">
        <v>1320</v>
      </c>
      <c r="M242" s="280" t="s">
        <v>14877</v>
      </c>
    </row>
    <row r="243" spans="1:13">
      <c r="A243" s="280" t="str">
        <f t="shared" si="16"/>
        <v>CheckerA3</v>
      </c>
      <c r="B243" s="280" t="s">
        <v>1240</v>
      </c>
      <c r="C243" s="280" t="s">
        <v>633</v>
      </c>
      <c r="D243" s="280" t="s">
        <v>877</v>
      </c>
      <c r="E243" s="280" t="s">
        <v>14251</v>
      </c>
      <c r="F243" s="330" t="s">
        <v>14466</v>
      </c>
      <c r="G243" s="283" t="s">
        <v>1149</v>
      </c>
      <c r="H243" s="280" t="s">
        <v>1150</v>
      </c>
      <c r="I243" s="280" t="s">
        <v>1151</v>
      </c>
      <c r="J243" s="280" t="s">
        <v>1152</v>
      </c>
      <c r="K243" s="274" t="s">
        <v>1153</v>
      </c>
      <c r="L243" s="286" t="s">
        <v>1321</v>
      </c>
      <c r="M243" s="280" t="s">
        <v>14878</v>
      </c>
    </row>
    <row r="244" spans="1:13">
      <c r="A244" s="280" t="str">
        <f t="shared" si="16"/>
        <v>CheckerB3</v>
      </c>
      <c r="B244" s="280" t="s">
        <v>1240</v>
      </c>
      <c r="C244" s="280" t="s">
        <v>949</v>
      </c>
      <c r="D244" s="280" t="s">
        <v>878</v>
      </c>
      <c r="E244" s="280" t="s">
        <v>14252</v>
      </c>
      <c r="F244" s="330" t="s">
        <v>862</v>
      </c>
      <c r="G244" s="283" t="s">
        <v>1154</v>
      </c>
      <c r="H244" s="280" t="s">
        <v>1155</v>
      </c>
      <c r="I244" s="280" t="s">
        <v>1156</v>
      </c>
      <c r="J244" s="280" t="s">
        <v>1157</v>
      </c>
      <c r="K244" s="274" t="s">
        <v>1158</v>
      </c>
      <c r="L244" s="286" t="s">
        <v>1322</v>
      </c>
      <c r="M244" s="280" t="s">
        <v>14879</v>
      </c>
    </row>
    <row r="245" spans="1:13">
      <c r="A245" s="280" t="str">
        <f t="shared" si="16"/>
        <v>CheckerC3</v>
      </c>
      <c r="B245" s="280" t="s">
        <v>1240</v>
      </c>
      <c r="C245" s="280" t="s">
        <v>970</v>
      </c>
      <c r="D245" s="280" t="s">
        <v>896</v>
      </c>
      <c r="E245" s="280" t="s">
        <v>14253</v>
      </c>
      <c r="F245" s="330" t="s">
        <v>14467</v>
      </c>
      <c r="G245" s="283" t="s">
        <v>1159</v>
      </c>
      <c r="H245" s="280" t="s">
        <v>1160</v>
      </c>
      <c r="I245" s="280" t="s">
        <v>1161</v>
      </c>
      <c r="J245" s="280" t="s">
        <v>1162</v>
      </c>
      <c r="K245" s="274" t="s">
        <v>1161</v>
      </c>
      <c r="L245" s="286" t="s">
        <v>1323</v>
      </c>
      <c r="M245" s="280" t="s">
        <v>14880</v>
      </c>
    </row>
    <row r="246" spans="1:13">
      <c r="A246" s="280" t="str">
        <f t="shared" si="16"/>
        <v>CheckerD3</v>
      </c>
      <c r="B246" s="280" t="s">
        <v>1240</v>
      </c>
      <c r="C246" s="280" t="s">
        <v>1299</v>
      </c>
      <c r="D246" s="280" t="s">
        <v>897</v>
      </c>
      <c r="E246" s="280" t="s">
        <v>14254</v>
      </c>
      <c r="F246" s="330"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30"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30"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30"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30"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30" t="s">
        <v>1898</v>
      </c>
      <c r="G251" s="283" t="s">
        <v>1899</v>
      </c>
      <c r="H251" s="280" t="s">
        <v>1900</v>
      </c>
      <c r="I251" s="280" t="s">
        <v>1901</v>
      </c>
      <c r="J251" s="280" t="s">
        <v>1902</v>
      </c>
      <c r="K251" s="283" t="s">
        <v>1462</v>
      </c>
      <c r="L251" s="292" t="s">
        <v>1903</v>
      </c>
      <c r="M251" s="280" t="s">
        <v>2479</v>
      </c>
    </row>
    <row r="252" spans="1:13" ht="27.6">
      <c r="A252" s="280" t="s">
        <v>1444</v>
      </c>
      <c r="B252" s="280" t="s">
        <v>1240</v>
      </c>
      <c r="C252" s="280" t="s">
        <v>1291</v>
      </c>
      <c r="D252" s="280" t="s">
        <v>1534</v>
      </c>
      <c r="E252" s="280" t="s">
        <v>14257</v>
      </c>
      <c r="F252" s="330" t="s">
        <v>1904</v>
      </c>
      <c r="G252" s="283" t="s">
        <v>15300</v>
      </c>
      <c r="H252" s="280" t="s">
        <v>1905</v>
      </c>
      <c r="I252" s="280" t="s">
        <v>1906</v>
      </c>
      <c r="J252" s="280" t="s">
        <v>1907</v>
      </c>
      <c r="K252" s="283" t="s">
        <v>1908</v>
      </c>
      <c r="L252" s="292" t="s">
        <v>1909</v>
      </c>
      <c r="M252" s="280" t="s">
        <v>14883</v>
      </c>
    </row>
    <row r="253" spans="1:13" ht="27.6">
      <c r="A253" s="280" t="s">
        <v>1463</v>
      </c>
      <c r="B253" s="280" t="s">
        <v>1240</v>
      </c>
      <c r="C253" s="280" t="s">
        <v>1445</v>
      </c>
      <c r="D253" s="280" t="s">
        <v>1533</v>
      </c>
      <c r="E253" s="280" t="s">
        <v>14258</v>
      </c>
      <c r="F253" s="330" t="s">
        <v>1910</v>
      </c>
      <c r="G253" s="283" t="s">
        <v>15301</v>
      </c>
      <c r="H253" s="280" t="s">
        <v>1911</v>
      </c>
      <c r="I253" s="280" t="s">
        <v>1912</v>
      </c>
      <c r="J253" s="280" t="s">
        <v>1913</v>
      </c>
      <c r="K253" s="283" t="s">
        <v>1914</v>
      </c>
      <c r="L253" s="292" t="s">
        <v>1915</v>
      </c>
      <c r="M253" s="280" t="s">
        <v>14884</v>
      </c>
    </row>
    <row r="254" spans="1:13" ht="27.6">
      <c r="A254" s="280" t="s">
        <v>1507</v>
      </c>
      <c r="B254" s="280" t="s">
        <v>1240</v>
      </c>
      <c r="C254" s="280" t="s">
        <v>1446</v>
      </c>
      <c r="D254" s="280" t="s">
        <v>1539</v>
      </c>
      <c r="E254" s="280" t="s">
        <v>14259</v>
      </c>
      <c r="F254" s="330" t="s">
        <v>1916</v>
      </c>
      <c r="G254" s="283" t="s">
        <v>15302</v>
      </c>
      <c r="H254" s="280" t="s">
        <v>1917</v>
      </c>
      <c r="I254" s="280" t="s">
        <v>1918</v>
      </c>
      <c r="J254" s="280" t="s">
        <v>1919</v>
      </c>
      <c r="K254" s="283" t="s">
        <v>1920</v>
      </c>
      <c r="L254" s="292" t="s">
        <v>1921</v>
      </c>
      <c r="M254" s="280" t="s">
        <v>14885</v>
      </c>
    </row>
    <row r="255" spans="1:13" ht="27.6">
      <c r="A255" s="280" t="s">
        <v>1508</v>
      </c>
      <c r="B255" s="280" t="s">
        <v>1240</v>
      </c>
      <c r="C255" s="280" t="s">
        <v>1447</v>
      </c>
      <c r="D255" s="280" t="s">
        <v>1488</v>
      </c>
      <c r="E255" s="280" t="s">
        <v>14260</v>
      </c>
      <c r="F255" s="330" t="s">
        <v>1922</v>
      </c>
      <c r="G255" s="283" t="s">
        <v>15303</v>
      </c>
      <c r="H255" s="280" t="s">
        <v>1923</v>
      </c>
      <c r="I255" s="280" t="s">
        <v>1924</v>
      </c>
      <c r="J255" s="280" t="s">
        <v>1925</v>
      </c>
      <c r="K255" s="283" t="s">
        <v>1926</v>
      </c>
      <c r="L255" s="292" t="s">
        <v>1927</v>
      </c>
      <c r="M255" s="280" t="s">
        <v>14886</v>
      </c>
    </row>
    <row r="256" spans="1:13" ht="27.6">
      <c r="A256" s="280" t="s">
        <v>1517</v>
      </c>
      <c r="B256" s="280" t="s">
        <v>1240</v>
      </c>
      <c r="C256" s="280" t="s">
        <v>1448</v>
      </c>
      <c r="D256" s="280" t="s">
        <v>2473</v>
      </c>
      <c r="E256" s="280" t="s">
        <v>14261</v>
      </c>
      <c r="F256" s="330" t="s">
        <v>2482</v>
      </c>
      <c r="G256" s="283" t="s">
        <v>15304</v>
      </c>
      <c r="H256" s="280" t="s">
        <v>2485</v>
      </c>
      <c r="I256" s="280" t="s">
        <v>2488</v>
      </c>
      <c r="J256" s="280" t="s">
        <v>2491</v>
      </c>
      <c r="K256" s="283" t="s">
        <v>2494</v>
      </c>
      <c r="L256" s="292" t="s">
        <v>2497</v>
      </c>
      <c r="M256" s="280" t="s">
        <v>2500</v>
      </c>
    </row>
    <row r="257" spans="1:13" ht="27.6">
      <c r="A257" s="280" t="s">
        <v>1518</v>
      </c>
      <c r="B257" s="280" t="s">
        <v>1240</v>
      </c>
      <c r="C257" s="280" t="s">
        <v>1449</v>
      </c>
      <c r="D257" s="280" t="s">
        <v>1489</v>
      </c>
      <c r="E257" s="280" t="s">
        <v>14262</v>
      </c>
      <c r="F257" s="330" t="s">
        <v>1928</v>
      </c>
      <c r="G257" s="283" t="s">
        <v>15305</v>
      </c>
      <c r="H257" s="280" t="s">
        <v>1929</v>
      </c>
      <c r="I257" s="280" t="s">
        <v>1930</v>
      </c>
      <c r="J257" s="280" t="s">
        <v>1931</v>
      </c>
      <c r="K257" s="283" t="s">
        <v>1932</v>
      </c>
      <c r="L257" s="292" t="s">
        <v>1933</v>
      </c>
      <c r="M257" s="280" t="s">
        <v>14887</v>
      </c>
    </row>
    <row r="258" spans="1:13" ht="41.4">
      <c r="A258" s="280" t="s">
        <v>1519</v>
      </c>
      <c r="B258" s="280" t="s">
        <v>1240</v>
      </c>
      <c r="C258" s="280" t="s">
        <v>1450</v>
      </c>
      <c r="D258" s="280" t="s">
        <v>1490</v>
      </c>
      <c r="E258" s="280" t="s">
        <v>14263</v>
      </c>
      <c r="F258" s="330" t="s">
        <v>1934</v>
      </c>
      <c r="G258" s="283" t="s">
        <v>15306</v>
      </c>
      <c r="H258" s="280" t="s">
        <v>1935</v>
      </c>
      <c r="I258" s="280" t="s">
        <v>1936</v>
      </c>
      <c r="J258" s="280" t="s">
        <v>1937</v>
      </c>
      <c r="K258" s="283" t="s">
        <v>1938</v>
      </c>
      <c r="L258" s="292" t="s">
        <v>1939</v>
      </c>
      <c r="M258" s="280" t="s">
        <v>14888</v>
      </c>
    </row>
    <row r="259" spans="1:13" ht="41.4">
      <c r="A259" s="280" t="s">
        <v>1520</v>
      </c>
      <c r="B259" s="280" t="s">
        <v>1240</v>
      </c>
      <c r="C259" s="280" t="s">
        <v>1451</v>
      </c>
      <c r="D259" s="280" t="s">
        <v>1491</v>
      </c>
      <c r="E259" s="280" t="s">
        <v>14264</v>
      </c>
      <c r="F259" s="330" t="s">
        <v>2481</v>
      </c>
      <c r="G259" s="283" t="s">
        <v>15307</v>
      </c>
      <c r="H259" s="280" t="s">
        <v>2484</v>
      </c>
      <c r="I259" s="280" t="s">
        <v>14635</v>
      </c>
      <c r="J259" s="280" t="s">
        <v>2490</v>
      </c>
      <c r="K259" s="283" t="s">
        <v>2495</v>
      </c>
      <c r="L259" s="292" t="s">
        <v>2496</v>
      </c>
      <c r="M259" s="280" t="s">
        <v>2501</v>
      </c>
    </row>
    <row r="260" spans="1:13" ht="27.6">
      <c r="A260" s="280" t="s">
        <v>1521</v>
      </c>
      <c r="B260" s="280" t="s">
        <v>1240</v>
      </c>
      <c r="C260" s="280" t="s">
        <v>1452</v>
      </c>
      <c r="D260" s="280" t="s">
        <v>1464</v>
      </c>
      <c r="E260" s="280" t="s">
        <v>14265</v>
      </c>
      <c r="F260" s="330" t="s">
        <v>1940</v>
      </c>
      <c r="G260" s="283" t="s">
        <v>15308</v>
      </c>
      <c r="H260" s="280" t="s">
        <v>1941</v>
      </c>
      <c r="I260" s="280" t="s">
        <v>1942</v>
      </c>
      <c r="J260" s="280" t="s">
        <v>1943</v>
      </c>
      <c r="K260" s="283" t="s">
        <v>1944</v>
      </c>
      <c r="L260" s="292" t="s">
        <v>1945</v>
      </c>
      <c r="M260" s="280" t="s">
        <v>14889</v>
      </c>
    </row>
    <row r="261" spans="1:13" ht="27.6">
      <c r="A261" s="280" t="s">
        <v>14141</v>
      </c>
      <c r="B261" s="280" t="s">
        <v>1240</v>
      </c>
      <c r="C261" s="280" t="s">
        <v>14140</v>
      </c>
      <c r="D261" s="280" t="s">
        <v>1535</v>
      </c>
      <c r="E261" s="280" t="s">
        <v>14266</v>
      </c>
      <c r="F261" s="330" t="s">
        <v>1946</v>
      </c>
      <c r="G261" s="283" t="s">
        <v>15309</v>
      </c>
      <c r="H261" s="280" t="s">
        <v>1947</v>
      </c>
      <c r="I261" s="280" t="s">
        <v>1948</v>
      </c>
      <c r="J261" s="280" t="s">
        <v>1949</v>
      </c>
      <c r="K261" s="283" t="s">
        <v>1950</v>
      </c>
      <c r="L261" s="292" t="s">
        <v>1951</v>
      </c>
      <c r="M261" s="280" t="s">
        <v>14890</v>
      </c>
    </row>
    <row r="262" spans="1:13" ht="27.6">
      <c r="A262" s="280" t="s">
        <v>1522</v>
      </c>
      <c r="B262" s="280" t="s">
        <v>1240</v>
      </c>
      <c r="C262" s="280" t="s">
        <v>1453</v>
      </c>
      <c r="D262" s="280" t="s">
        <v>1536</v>
      </c>
      <c r="E262" s="280" t="s">
        <v>14267</v>
      </c>
      <c r="F262" s="330" t="s">
        <v>1952</v>
      </c>
      <c r="G262" s="283" t="s">
        <v>15310</v>
      </c>
      <c r="H262" s="280" t="s">
        <v>1953</v>
      </c>
      <c r="I262" s="280" t="s">
        <v>1954</v>
      </c>
      <c r="J262" s="280" t="s">
        <v>1955</v>
      </c>
      <c r="K262" s="283" t="s">
        <v>1956</v>
      </c>
      <c r="L262" s="292" t="s">
        <v>1957</v>
      </c>
      <c r="M262" s="280" t="s">
        <v>14891</v>
      </c>
    </row>
    <row r="263" spans="1:13" ht="27.6">
      <c r="A263" s="280" t="s">
        <v>1523</v>
      </c>
      <c r="B263" s="280" t="s">
        <v>1240</v>
      </c>
      <c r="C263" s="280" t="s">
        <v>1454</v>
      </c>
      <c r="D263" s="280" t="s">
        <v>1537</v>
      </c>
      <c r="E263" s="280" t="s">
        <v>14268</v>
      </c>
      <c r="F263" s="330" t="s">
        <v>1958</v>
      </c>
      <c r="G263" s="283" t="s">
        <v>15311</v>
      </c>
      <c r="H263" s="280" t="s">
        <v>1959</v>
      </c>
      <c r="I263" s="280" t="s">
        <v>1960</v>
      </c>
      <c r="J263" s="280" t="s">
        <v>1961</v>
      </c>
      <c r="K263" s="283" t="s">
        <v>1962</v>
      </c>
      <c r="L263" s="292" t="s">
        <v>1963</v>
      </c>
      <c r="M263" s="280" t="s">
        <v>14892</v>
      </c>
    </row>
    <row r="264" spans="1:13" ht="27.6">
      <c r="A264" s="280" t="s">
        <v>1524</v>
      </c>
      <c r="B264" s="280" t="s">
        <v>1240</v>
      </c>
      <c r="C264" s="280" t="s">
        <v>1455</v>
      </c>
      <c r="D264" s="280" t="s">
        <v>1538</v>
      </c>
      <c r="E264" s="280" t="s">
        <v>14269</v>
      </c>
      <c r="F264" s="330" t="s">
        <v>1964</v>
      </c>
      <c r="G264" s="283" t="s">
        <v>15312</v>
      </c>
      <c r="H264" s="280" t="s">
        <v>1965</v>
      </c>
      <c r="I264" s="280" t="s">
        <v>1966</v>
      </c>
      <c r="J264" s="280" t="s">
        <v>1967</v>
      </c>
      <c r="K264" s="283" t="s">
        <v>1968</v>
      </c>
      <c r="L264" s="292" t="s">
        <v>1969</v>
      </c>
      <c r="M264" s="280" t="s">
        <v>14893</v>
      </c>
    </row>
    <row r="265" spans="1:13" ht="55.2">
      <c r="A265" s="280" t="s">
        <v>14144</v>
      </c>
      <c r="B265" s="280" t="s">
        <v>1240</v>
      </c>
      <c r="C265" s="280" t="s">
        <v>14142</v>
      </c>
      <c r="D265" s="280" t="s">
        <v>1465</v>
      </c>
      <c r="E265" s="280" t="s">
        <v>14270</v>
      </c>
      <c r="F265" s="330" t="s">
        <v>1970</v>
      </c>
      <c r="G265" s="283" t="s">
        <v>15313</v>
      </c>
      <c r="H265" s="280" t="s">
        <v>1971</v>
      </c>
      <c r="I265" s="280" t="s">
        <v>1972</v>
      </c>
      <c r="J265" s="280" t="s">
        <v>1973</v>
      </c>
      <c r="K265" s="283" t="s">
        <v>1974</v>
      </c>
      <c r="L265" s="292" t="s">
        <v>1975</v>
      </c>
      <c r="M265" s="280" t="s">
        <v>14894</v>
      </c>
    </row>
    <row r="266" spans="1:13" ht="55.2">
      <c r="A266" s="280" t="s">
        <v>1525</v>
      </c>
      <c r="B266" s="280" t="s">
        <v>1240</v>
      </c>
      <c r="C266" s="280" t="s">
        <v>1456</v>
      </c>
      <c r="D266" s="280" t="s">
        <v>1466</v>
      </c>
      <c r="E266" s="280" t="s">
        <v>14271</v>
      </c>
      <c r="F266" s="330" t="s">
        <v>1976</v>
      </c>
      <c r="G266" s="283" t="s">
        <v>15314</v>
      </c>
      <c r="H266" s="280" t="s">
        <v>1977</v>
      </c>
      <c r="I266" s="280" t="s">
        <v>1978</v>
      </c>
      <c r="J266" s="280" t="s">
        <v>1979</v>
      </c>
      <c r="K266" s="283" t="s">
        <v>1980</v>
      </c>
      <c r="L266" s="292" t="s">
        <v>1981</v>
      </c>
      <c r="M266" s="280" t="s">
        <v>14895</v>
      </c>
    </row>
    <row r="267" spans="1:13" ht="55.2">
      <c r="A267" s="280" t="s">
        <v>1526</v>
      </c>
      <c r="B267" s="280" t="s">
        <v>1240</v>
      </c>
      <c r="C267" s="280" t="s">
        <v>1457</v>
      </c>
      <c r="D267" s="280" t="s">
        <v>1467</v>
      </c>
      <c r="E267" s="280" t="s">
        <v>14272</v>
      </c>
      <c r="F267" s="330" t="s">
        <v>1982</v>
      </c>
      <c r="G267" s="283" t="s">
        <v>15315</v>
      </c>
      <c r="H267" s="280" t="s">
        <v>1983</v>
      </c>
      <c r="I267" s="280" t="s">
        <v>1984</v>
      </c>
      <c r="J267" s="280" t="s">
        <v>1985</v>
      </c>
      <c r="K267" s="283" t="s">
        <v>1986</v>
      </c>
      <c r="L267" s="292" t="s">
        <v>1987</v>
      </c>
      <c r="M267" s="280" t="s">
        <v>14896</v>
      </c>
    </row>
    <row r="268" spans="1:13" ht="55.2">
      <c r="A268" s="280" t="s">
        <v>1527</v>
      </c>
      <c r="B268" s="280" t="s">
        <v>1240</v>
      </c>
      <c r="C268" s="280" t="s">
        <v>1458</v>
      </c>
      <c r="D268" s="280" t="s">
        <v>1468</v>
      </c>
      <c r="E268" s="280" t="s">
        <v>14273</v>
      </c>
      <c r="F268" s="330" t="s">
        <v>1988</v>
      </c>
      <c r="G268" s="283" t="s">
        <v>15316</v>
      </c>
      <c r="H268" s="280" t="s">
        <v>1989</v>
      </c>
      <c r="I268" s="280" t="s">
        <v>1990</v>
      </c>
      <c r="J268" s="280" t="s">
        <v>1991</v>
      </c>
      <c r="K268" s="283" t="s">
        <v>1992</v>
      </c>
      <c r="L268" s="292" t="s">
        <v>1993</v>
      </c>
      <c r="M268" s="280" t="s">
        <v>14897</v>
      </c>
    </row>
    <row r="269" spans="1:13" ht="69">
      <c r="A269" s="280" t="s">
        <v>14145</v>
      </c>
      <c r="B269" s="280" t="s">
        <v>1240</v>
      </c>
      <c r="C269" s="280" t="s">
        <v>14143</v>
      </c>
      <c r="D269" s="280" t="s">
        <v>1469</v>
      </c>
      <c r="E269" s="280" t="s">
        <v>14274</v>
      </c>
      <c r="F269" s="330" t="s">
        <v>1994</v>
      </c>
      <c r="G269" s="283" t="s">
        <v>15317</v>
      </c>
      <c r="H269" s="280" t="s">
        <v>1995</v>
      </c>
      <c r="I269" s="280" t="s">
        <v>1996</v>
      </c>
      <c r="J269" s="280" t="s">
        <v>1997</v>
      </c>
      <c r="K269" s="283" t="s">
        <v>1998</v>
      </c>
      <c r="L269" s="292" t="s">
        <v>1999</v>
      </c>
      <c r="M269" s="280" t="s">
        <v>14898</v>
      </c>
    </row>
    <row r="270" spans="1:13" ht="69">
      <c r="A270" s="280" t="s">
        <v>1528</v>
      </c>
      <c r="B270" s="280" t="s">
        <v>1240</v>
      </c>
      <c r="C270" s="280" t="s">
        <v>1492</v>
      </c>
      <c r="D270" s="280" t="s">
        <v>1470</v>
      </c>
      <c r="E270" s="280" t="s">
        <v>14275</v>
      </c>
      <c r="F270" s="330" t="s">
        <v>2000</v>
      </c>
      <c r="G270" s="283" t="s">
        <v>15318</v>
      </c>
      <c r="H270" s="280" t="s">
        <v>2001</v>
      </c>
      <c r="I270" s="280" t="s">
        <v>2002</v>
      </c>
      <c r="J270" s="280" t="s">
        <v>2003</v>
      </c>
      <c r="K270" s="283" t="s">
        <v>2004</v>
      </c>
      <c r="L270" s="292" t="s">
        <v>2005</v>
      </c>
      <c r="M270" s="280" t="s">
        <v>14899</v>
      </c>
    </row>
    <row r="271" spans="1:13" ht="69">
      <c r="A271" s="280" t="s">
        <v>1529</v>
      </c>
      <c r="B271" s="280" t="s">
        <v>1240</v>
      </c>
      <c r="C271" s="280" t="s">
        <v>1493</v>
      </c>
      <c r="D271" s="280" t="s">
        <v>1471</v>
      </c>
      <c r="E271" s="280" t="s">
        <v>14276</v>
      </c>
      <c r="F271" s="330" t="s">
        <v>2006</v>
      </c>
      <c r="G271" s="283" t="s">
        <v>15319</v>
      </c>
      <c r="H271" s="280" t="s">
        <v>2007</v>
      </c>
      <c r="I271" s="280" t="s">
        <v>2008</v>
      </c>
      <c r="J271" s="280" t="s">
        <v>2009</v>
      </c>
      <c r="K271" s="283" t="s">
        <v>2010</v>
      </c>
      <c r="L271" s="292" t="s">
        <v>2011</v>
      </c>
      <c r="M271" s="280" t="s">
        <v>14900</v>
      </c>
    </row>
    <row r="272" spans="1:13" ht="69">
      <c r="A272" s="280" t="s">
        <v>1530</v>
      </c>
      <c r="B272" s="280" t="s">
        <v>1240</v>
      </c>
      <c r="C272" s="280" t="s">
        <v>1494</v>
      </c>
      <c r="D272" s="280" t="s">
        <v>1472</v>
      </c>
      <c r="E272" s="280" t="s">
        <v>14277</v>
      </c>
      <c r="F272" s="330" t="s">
        <v>2012</v>
      </c>
      <c r="G272" s="283" t="s">
        <v>15320</v>
      </c>
      <c r="H272" s="280" t="s">
        <v>2013</v>
      </c>
      <c r="I272" s="280" t="s">
        <v>2014</v>
      </c>
      <c r="J272" s="280" t="s">
        <v>2015</v>
      </c>
      <c r="K272" s="283" t="s">
        <v>2016</v>
      </c>
      <c r="L272" s="292" t="s">
        <v>2017</v>
      </c>
      <c r="M272" s="280" t="s">
        <v>14901</v>
      </c>
    </row>
    <row r="273" spans="1:13" ht="55.2">
      <c r="A273" s="280" t="s">
        <v>14178</v>
      </c>
      <c r="B273" s="280" t="s">
        <v>1240</v>
      </c>
      <c r="C273" s="280" t="s">
        <v>14186</v>
      </c>
      <c r="D273" s="280" t="s">
        <v>15033</v>
      </c>
      <c r="E273" s="280" t="s">
        <v>15034</v>
      </c>
      <c r="F273" s="330" t="s">
        <v>15035</v>
      </c>
      <c r="G273" s="283" t="s">
        <v>15321</v>
      </c>
      <c r="H273" s="280" t="s">
        <v>15036</v>
      </c>
      <c r="I273" s="280" t="s">
        <v>15037</v>
      </c>
      <c r="J273" s="280" t="s">
        <v>15038</v>
      </c>
      <c r="K273" s="280" t="s">
        <v>15039</v>
      </c>
      <c r="L273" s="280" t="s">
        <v>15040</v>
      </c>
      <c r="M273" s="280" t="s">
        <v>15041</v>
      </c>
    </row>
    <row r="274" spans="1:13" ht="55.2">
      <c r="A274" s="280" t="s">
        <v>14179</v>
      </c>
      <c r="B274" s="280" t="s">
        <v>1240</v>
      </c>
      <c r="C274" s="179" t="s">
        <v>1495</v>
      </c>
      <c r="D274" s="280" t="s">
        <v>15042</v>
      </c>
      <c r="E274" s="280" t="s">
        <v>15043</v>
      </c>
      <c r="F274" s="330" t="s">
        <v>15044</v>
      </c>
      <c r="G274" s="283" t="s">
        <v>15322</v>
      </c>
      <c r="H274" s="280" t="s">
        <v>15045</v>
      </c>
      <c r="I274" s="280" t="s">
        <v>15046</v>
      </c>
      <c r="J274" s="280" t="s">
        <v>15047</v>
      </c>
      <c r="K274" s="280" t="s">
        <v>15048</v>
      </c>
      <c r="L274" s="280" t="s">
        <v>15049</v>
      </c>
      <c r="M274" s="280" t="s">
        <v>15050</v>
      </c>
    </row>
    <row r="275" spans="1:13" ht="55.2">
      <c r="A275" s="280" t="s">
        <v>14146</v>
      </c>
      <c r="B275" s="280" t="s">
        <v>1240</v>
      </c>
      <c r="C275" s="179" t="s">
        <v>1496</v>
      </c>
      <c r="D275" s="280" t="s">
        <v>15056</v>
      </c>
      <c r="E275" s="280" t="s">
        <v>15057</v>
      </c>
      <c r="F275" s="330" t="s">
        <v>15058</v>
      </c>
      <c r="G275" s="283" t="s">
        <v>15323</v>
      </c>
      <c r="H275" s="280" t="s">
        <v>15059</v>
      </c>
      <c r="I275" s="280" t="s">
        <v>15055</v>
      </c>
      <c r="J275" s="280" t="s">
        <v>15054</v>
      </c>
      <c r="K275" s="280" t="s">
        <v>15053</v>
      </c>
      <c r="L275" s="280" t="s">
        <v>15052</v>
      </c>
      <c r="M275" s="280" t="s">
        <v>15051</v>
      </c>
    </row>
    <row r="276" spans="1:13" ht="55.2">
      <c r="A276" s="280" t="s">
        <v>14147</v>
      </c>
      <c r="B276" s="280" t="s">
        <v>1240</v>
      </c>
      <c r="C276" s="280" t="s">
        <v>1497</v>
      </c>
      <c r="D276" s="280" t="s">
        <v>15060</v>
      </c>
      <c r="E276" s="280" t="s">
        <v>15061</v>
      </c>
      <c r="F276" s="330" t="s">
        <v>15062</v>
      </c>
      <c r="G276" s="283" t="s">
        <v>15324</v>
      </c>
      <c r="H276" s="280" t="s">
        <v>15063</v>
      </c>
      <c r="I276" s="280" t="s">
        <v>15064</v>
      </c>
      <c r="J276" s="280" t="s">
        <v>15065</v>
      </c>
      <c r="K276" s="280" t="s">
        <v>15066</v>
      </c>
      <c r="L276" s="280" t="s">
        <v>15067</v>
      </c>
      <c r="M276" s="280" t="s">
        <v>15068</v>
      </c>
    </row>
    <row r="277" spans="1:13" ht="55.2">
      <c r="A277" s="280" t="s">
        <v>14148</v>
      </c>
      <c r="B277" s="280" t="s">
        <v>1240</v>
      </c>
      <c r="C277" s="280" t="s">
        <v>14172</v>
      </c>
      <c r="D277" s="280" t="s">
        <v>1473</v>
      </c>
      <c r="E277" s="246" t="s">
        <v>13477</v>
      </c>
      <c r="F277" s="330" t="s">
        <v>15128</v>
      </c>
      <c r="G277" s="283" t="s">
        <v>15325</v>
      </c>
      <c r="H277" s="280" t="s">
        <v>2018</v>
      </c>
      <c r="I277" s="280" t="s">
        <v>2019</v>
      </c>
      <c r="J277" s="280" t="s">
        <v>2020</v>
      </c>
      <c r="K277" s="283" t="s">
        <v>2021</v>
      </c>
      <c r="L277" s="292" t="s">
        <v>2022</v>
      </c>
      <c r="M277" s="280" t="s">
        <v>14902</v>
      </c>
    </row>
    <row r="278" spans="1:13" ht="55.2">
      <c r="A278" s="280" t="s">
        <v>14180</v>
      </c>
      <c r="B278" s="280" t="s">
        <v>1240</v>
      </c>
      <c r="C278" s="280" t="s">
        <v>1498</v>
      </c>
      <c r="D278" s="179" t="s">
        <v>1474</v>
      </c>
      <c r="E278" s="246" t="s">
        <v>13478</v>
      </c>
      <c r="F278" s="321" t="s">
        <v>15129</v>
      </c>
      <c r="G278" s="283" t="s">
        <v>15326</v>
      </c>
      <c r="H278" s="179" t="s">
        <v>2023</v>
      </c>
      <c r="I278" s="179" t="s">
        <v>2024</v>
      </c>
      <c r="J278" s="179" t="s">
        <v>2025</v>
      </c>
      <c r="K278" s="283" t="s">
        <v>2026</v>
      </c>
      <c r="L278" s="306" t="s">
        <v>2027</v>
      </c>
      <c r="M278" s="179" t="s">
        <v>14903</v>
      </c>
    </row>
    <row r="279" spans="1:13" ht="55.2">
      <c r="A279" s="280" t="s">
        <v>14149</v>
      </c>
      <c r="B279" s="280" t="s">
        <v>1240</v>
      </c>
      <c r="C279" s="280" t="s">
        <v>1499</v>
      </c>
      <c r="D279" s="280" t="s">
        <v>1475</v>
      </c>
      <c r="E279" s="246" t="s">
        <v>13479</v>
      </c>
      <c r="F279" s="330" t="s">
        <v>15130</v>
      </c>
      <c r="G279" s="283" t="s">
        <v>15327</v>
      </c>
      <c r="H279" s="280" t="s">
        <v>2028</v>
      </c>
      <c r="I279" s="280" t="s">
        <v>2029</v>
      </c>
      <c r="J279" s="280" t="s">
        <v>2030</v>
      </c>
      <c r="K279" s="283" t="s">
        <v>2031</v>
      </c>
      <c r="L279" s="292" t="s">
        <v>2032</v>
      </c>
      <c r="M279" s="280" t="s">
        <v>14904</v>
      </c>
    </row>
    <row r="280" spans="1:13" ht="55.2">
      <c r="A280" s="280" t="s">
        <v>14150</v>
      </c>
      <c r="B280" s="280" t="s">
        <v>1240</v>
      </c>
      <c r="C280" s="280" t="s">
        <v>1500</v>
      </c>
      <c r="D280" s="280" t="s">
        <v>1476</v>
      </c>
      <c r="E280" s="246" t="s">
        <v>13480</v>
      </c>
      <c r="F280" s="330" t="s">
        <v>15131</v>
      </c>
      <c r="G280" s="283" t="s">
        <v>15328</v>
      </c>
      <c r="H280" s="280" t="s">
        <v>2033</v>
      </c>
      <c r="I280" s="280" t="s">
        <v>2034</v>
      </c>
      <c r="J280" s="280" t="s">
        <v>2035</v>
      </c>
      <c r="K280" s="283" t="s">
        <v>2036</v>
      </c>
      <c r="L280" s="292" t="s">
        <v>2037</v>
      </c>
      <c r="M280" s="280" t="s">
        <v>14905</v>
      </c>
    </row>
    <row r="281" spans="1:13" ht="41.4">
      <c r="A281" s="280" t="s">
        <v>14151</v>
      </c>
      <c r="B281" s="280" t="s">
        <v>1240</v>
      </c>
      <c r="C281" s="280" t="s">
        <v>14173</v>
      </c>
      <c r="D281" s="280" t="s">
        <v>1252</v>
      </c>
      <c r="E281" s="246" t="s">
        <v>13481</v>
      </c>
      <c r="F281" s="330" t="s">
        <v>2038</v>
      </c>
      <c r="G281" s="283" t="s">
        <v>15329</v>
      </c>
      <c r="H281" s="280" t="s">
        <v>2039</v>
      </c>
      <c r="I281" s="280" t="s">
        <v>2040</v>
      </c>
      <c r="J281" s="280" t="s">
        <v>15392</v>
      </c>
      <c r="K281" s="283" t="s">
        <v>2041</v>
      </c>
      <c r="L281" s="292" t="s">
        <v>2042</v>
      </c>
      <c r="M281" s="280" t="s">
        <v>14906</v>
      </c>
    </row>
    <row r="282" spans="1:13" ht="57" customHeight="1">
      <c r="A282" s="280" t="s">
        <v>14181</v>
      </c>
      <c r="B282" s="280" t="s">
        <v>1240</v>
      </c>
      <c r="C282" s="280" t="s">
        <v>1501</v>
      </c>
      <c r="D282" s="280" t="s">
        <v>1253</v>
      </c>
      <c r="E282" s="246" t="s">
        <v>13482</v>
      </c>
      <c r="F282" s="330" t="s">
        <v>2043</v>
      </c>
      <c r="G282" s="283" t="s">
        <v>15330</v>
      </c>
      <c r="H282" s="280" t="s">
        <v>2044</v>
      </c>
      <c r="I282" s="280" t="s">
        <v>2045</v>
      </c>
      <c r="J282" s="280" t="s">
        <v>15393</v>
      </c>
      <c r="K282" s="283" t="s">
        <v>2046</v>
      </c>
      <c r="L282" s="292" t="s">
        <v>2047</v>
      </c>
      <c r="M282" s="280" t="s">
        <v>14907</v>
      </c>
    </row>
    <row r="283" spans="1:13" ht="57" customHeight="1">
      <c r="A283" s="280" t="s">
        <v>14152</v>
      </c>
      <c r="B283" s="280" t="s">
        <v>1240</v>
      </c>
      <c r="C283" s="280" t="s">
        <v>1502</v>
      </c>
      <c r="D283" s="280" t="s">
        <v>1254</v>
      </c>
      <c r="E283" s="246" t="s">
        <v>13483</v>
      </c>
      <c r="F283" s="330" t="s">
        <v>2048</v>
      </c>
      <c r="G283" s="283" t="s">
        <v>15331</v>
      </c>
      <c r="H283" s="280" t="s">
        <v>2049</v>
      </c>
      <c r="I283" s="280" t="s">
        <v>2050</v>
      </c>
      <c r="J283" s="280" t="s">
        <v>15394</v>
      </c>
      <c r="K283" s="283" t="s">
        <v>2051</v>
      </c>
      <c r="L283" s="292" t="s">
        <v>2052</v>
      </c>
      <c r="M283" s="280" t="s">
        <v>14908</v>
      </c>
    </row>
    <row r="284" spans="1:13" ht="57" customHeight="1">
      <c r="A284" s="280" t="s">
        <v>14153</v>
      </c>
      <c r="B284" s="280" t="s">
        <v>1240</v>
      </c>
      <c r="C284" s="280" t="s">
        <v>1503</v>
      </c>
      <c r="D284" s="280" t="s">
        <v>1255</v>
      </c>
      <c r="E284" s="246" t="s">
        <v>13484</v>
      </c>
      <c r="F284" s="330" t="s">
        <v>2053</v>
      </c>
      <c r="G284" s="283" t="s">
        <v>15332</v>
      </c>
      <c r="H284" s="280" t="s">
        <v>2054</v>
      </c>
      <c r="I284" s="280" t="s">
        <v>2055</v>
      </c>
      <c r="J284" s="280" t="s">
        <v>15395</v>
      </c>
      <c r="K284" s="283" t="s">
        <v>2056</v>
      </c>
      <c r="L284" s="292" t="s">
        <v>2057</v>
      </c>
      <c r="M284" s="280" t="s">
        <v>14909</v>
      </c>
    </row>
    <row r="285" spans="1:13" ht="57" customHeight="1">
      <c r="A285" s="280" t="s">
        <v>14154</v>
      </c>
      <c r="B285" s="280" t="s">
        <v>1240</v>
      </c>
      <c r="C285" s="280" t="s">
        <v>14174</v>
      </c>
      <c r="D285" s="280" t="s">
        <v>1477</v>
      </c>
      <c r="E285" s="246" t="s">
        <v>13485</v>
      </c>
      <c r="F285" s="330" t="s">
        <v>2058</v>
      </c>
      <c r="G285" s="283" t="s">
        <v>15333</v>
      </c>
      <c r="H285" s="280" t="s">
        <v>2059</v>
      </c>
      <c r="I285" s="280" t="s">
        <v>2060</v>
      </c>
      <c r="J285" s="280" t="s">
        <v>15396</v>
      </c>
      <c r="K285" s="283" t="s">
        <v>2061</v>
      </c>
      <c r="L285" s="292" t="s">
        <v>2062</v>
      </c>
      <c r="M285" s="280" t="s">
        <v>14910</v>
      </c>
    </row>
    <row r="286" spans="1:13" ht="55.2">
      <c r="A286" s="280" t="s">
        <v>14182</v>
      </c>
      <c r="B286" s="280" t="s">
        <v>1240</v>
      </c>
      <c r="C286" s="280" t="s">
        <v>1504</v>
      </c>
      <c r="D286" s="280" t="s">
        <v>1478</v>
      </c>
      <c r="E286" s="246" t="s">
        <v>13486</v>
      </c>
      <c r="F286" s="330" t="s">
        <v>2063</v>
      </c>
      <c r="G286" s="283" t="s">
        <v>15334</v>
      </c>
      <c r="H286" s="280" t="s">
        <v>2064</v>
      </c>
      <c r="I286" s="280" t="s">
        <v>2065</v>
      </c>
      <c r="J286" s="280" t="s">
        <v>15397</v>
      </c>
      <c r="K286" s="283" t="s">
        <v>2066</v>
      </c>
      <c r="L286" s="292" t="s">
        <v>2067</v>
      </c>
      <c r="M286" s="280" t="s">
        <v>14911</v>
      </c>
    </row>
    <row r="287" spans="1:13" ht="55.2">
      <c r="A287" s="280" t="s">
        <v>14155</v>
      </c>
      <c r="B287" s="280" t="s">
        <v>1240</v>
      </c>
      <c r="C287" s="280" t="s">
        <v>1505</v>
      </c>
      <c r="D287" s="280" t="s">
        <v>1479</v>
      </c>
      <c r="E287" s="246" t="s">
        <v>13487</v>
      </c>
      <c r="F287" s="330" t="s">
        <v>2068</v>
      </c>
      <c r="G287" s="283" t="s">
        <v>15335</v>
      </c>
      <c r="H287" s="280" t="s">
        <v>2069</v>
      </c>
      <c r="I287" s="280" t="s">
        <v>2070</v>
      </c>
      <c r="J287" s="280" t="s">
        <v>15398</v>
      </c>
      <c r="K287" s="283" t="s">
        <v>2071</v>
      </c>
      <c r="L287" s="292" t="s">
        <v>2072</v>
      </c>
      <c r="M287" s="280" t="s">
        <v>14912</v>
      </c>
    </row>
    <row r="288" spans="1:13" ht="55.2">
      <c r="A288" s="280" t="s">
        <v>14156</v>
      </c>
      <c r="B288" s="280" t="s">
        <v>1240</v>
      </c>
      <c r="C288" s="280" t="s">
        <v>1506</v>
      </c>
      <c r="D288" s="280" t="s">
        <v>1480</v>
      </c>
      <c r="E288" s="246" t="s">
        <v>13488</v>
      </c>
      <c r="F288" s="330" t="s">
        <v>2073</v>
      </c>
      <c r="G288" s="283" t="s">
        <v>15336</v>
      </c>
      <c r="H288" s="280" t="s">
        <v>2074</v>
      </c>
      <c r="I288" s="280" t="s">
        <v>2075</v>
      </c>
      <c r="J288" s="280" t="s">
        <v>15399</v>
      </c>
      <c r="K288" s="283" t="s">
        <v>2076</v>
      </c>
      <c r="L288" s="292" t="s">
        <v>2077</v>
      </c>
      <c r="M288" s="280" t="s">
        <v>14913</v>
      </c>
    </row>
    <row r="289" spans="1:13" ht="41.4">
      <c r="A289" s="280" t="s">
        <v>14157</v>
      </c>
      <c r="B289" s="280" t="s">
        <v>1240</v>
      </c>
      <c r="C289" s="280" t="s">
        <v>14175</v>
      </c>
      <c r="D289" s="280" t="s">
        <v>1481</v>
      </c>
      <c r="E289" s="246" t="s">
        <v>13489</v>
      </c>
      <c r="F289" s="330" t="s">
        <v>2078</v>
      </c>
      <c r="G289" s="283" t="s">
        <v>15337</v>
      </c>
      <c r="H289" s="280" t="s">
        <v>2079</v>
      </c>
      <c r="I289" s="280" t="s">
        <v>2080</v>
      </c>
      <c r="J289" s="280" t="s">
        <v>15400</v>
      </c>
      <c r="K289" s="283" t="s">
        <v>2081</v>
      </c>
      <c r="L289" s="292" t="s">
        <v>2082</v>
      </c>
      <c r="M289" s="280" t="s">
        <v>14914</v>
      </c>
    </row>
    <row r="290" spans="1:13" ht="41.4">
      <c r="A290" s="280" t="s">
        <v>14183</v>
      </c>
      <c r="B290" s="280" t="s">
        <v>1240</v>
      </c>
      <c r="C290" s="280" t="s">
        <v>1509</v>
      </c>
      <c r="D290" s="280" t="s">
        <v>1482</v>
      </c>
      <c r="E290" s="246" t="s">
        <v>13490</v>
      </c>
      <c r="F290" s="330" t="s">
        <v>2083</v>
      </c>
      <c r="G290" s="283" t="s">
        <v>15338</v>
      </c>
      <c r="H290" s="280" t="s">
        <v>2084</v>
      </c>
      <c r="I290" s="280" t="s">
        <v>2085</v>
      </c>
      <c r="J290" s="280" t="s">
        <v>15401</v>
      </c>
      <c r="K290" s="283" t="s">
        <v>2086</v>
      </c>
      <c r="L290" s="292" t="s">
        <v>2087</v>
      </c>
      <c r="M290" s="280" t="s">
        <v>14915</v>
      </c>
    </row>
    <row r="291" spans="1:13" ht="41.4">
      <c r="A291" s="280" t="s">
        <v>14158</v>
      </c>
      <c r="B291" s="280" t="s">
        <v>1240</v>
      </c>
      <c r="C291" s="280" t="s">
        <v>1510</v>
      </c>
      <c r="D291" s="280" t="s">
        <v>1483</v>
      </c>
      <c r="E291" s="246" t="s">
        <v>13491</v>
      </c>
      <c r="F291" s="330" t="s">
        <v>2088</v>
      </c>
      <c r="G291" s="283" t="s">
        <v>15339</v>
      </c>
      <c r="H291" s="280" t="s">
        <v>2089</v>
      </c>
      <c r="I291" s="280" t="s">
        <v>2090</v>
      </c>
      <c r="J291" s="280" t="s">
        <v>15402</v>
      </c>
      <c r="K291" s="283" t="s">
        <v>2091</v>
      </c>
      <c r="L291" s="292" t="s">
        <v>2092</v>
      </c>
      <c r="M291" s="280" t="s">
        <v>14916</v>
      </c>
    </row>
    <row r="292" spans="1:13" ht="41.4">
      <c r="A292" s="280" t="s">
        <v>14159</v>
      </c>
      <c r="B292" s="280" t="s">
        <v>1240</v>
      </c>
      <c r="C292" s="280" t="s">
        <v>1511</v>
      </c>
      <c r="D292" s="280" t="s">
        <v>1484</v>
      </c>
      <c r="E292" s="246" t="s">
        <v>13492</v>
      </c>
      <c r="F292" s="330" t="s">
        <v>2093</v>
      </c>
      <c r="G292" s="283" t="s">
        <v>15340</v>
      </c>
      <c r="H292" s="280" t="s">
        <v>2094</v>
      </c>
      <c r="I292" s="280" t="s">
        <v>2095</v>
      </c>
      <c r="J292" s="280" t="s">
        <v>15403</v>
      </c>
      <c r="K292" s="283" t="s">
        <v>2096</v>
      </c>
      <c r="L292" s="292" t="s">
        <v>2097</v>
      </c>
      <c r="M292" s="280" t="s">
        <v>14917</v>
      </c>
    </row>
    <row r="293" spans="1:13" ht="55.2">
      <c r="A293" s="280" t="s">
        <v>14160</v>
      </c>
      <c r="B293" s="280" t="s">
        <v>1240</v>
      </c>
      <c r="C293" s="280" t="s">
        <v>14176</v>
      </c>
      <c r="D293" s="280" t="s">
        <v>14963</v>
      </c>
      <c r="E293" s="280" t="s">
        <v>14278</v>
      </c>
      <c r="F293" s="330" t="s">
        <v>15132</v>
      </c>
      <c r="G293" s="283" t="s">
        <v>15341</v>
      </c>
      <c r="H293" s="280" t="s">
        <v>14579</v>
      </c>
      <c r="I293" s="280" t="s">
        <v>14636</v>
      </c>
      <c r="J293" s="280" t="s">
        <v>15404</v>
      </c>
      <c r="K293" s="280" t="s">
        <v>14692</v>
      </c>
      <c r="L293" s="280" t="s">
        <v>14743</v>
      </c>
      <c r="M293" s="280" t="s">
        <v>14918</v>
      </c>
    </row>
    <row r="294" spans="1:13" ht="55.2">
      <c r="A294" s="280" t="s">
        <v>14184</v>
      </c>
      <c r="B294" s="280" t="s">
        <v>1240</v>
      </c>
      <c r="C294" s="280" t="s">
        <v>1512</v>
      </c>
      <c r="D294" s="280" t="s">
        <v>14965</v>
      </c>
      <c r="E294" s="280" t="s">
        <v>14279</v>
      </c>
      <c r="F294" s="330" t="s">
        <v>15133</v>
      </c>
      <c r="G294" s="283" t="s">
        <v>15342</v>
      </c>
      <c r="H294" s="280" t="s">
        <v>14580</v>
      </c>
      <c r="I294" s="280" t="s">
        <v>14637</v>
      </c>
      <c r="J294" s="280" t="s">
        <v>14964</v>
      </c>
      <c r="K294" s="280" t="s">
        <v>14693</v>
      </c>
      <c r="L294" s="280" t="s">
        <v>14744</v>
      </c>
      <c r="M294" s="280" t="s">
        <v>14919</v>
      </c>
    </row>
    <row r="295" spans="1:13" ht="55.2">
      <c r="A295" s="280" t="s">
        <v>14161</v>
      </c>
      <c r="B295" s="280" t="s">
        <v>1240</v>
      </c>
      <c r="C295" s="280" t="s">
        <v>1513</v>
      </c>
      <c r="D295" s="280" t="s">
        <v>14124</v>
      </c>
      <c r="E295" s="246" t="s">
        <v>14125</v>
      </c>
      <c r="F295" s="330" t="s">
        <v>14126</v>
      </c>
      <c r="G295" s="283" t="s">
        <v>15343</v>
      </c>
      <c r="H295" s="280" t="s">
        <v>14127</v>
      </c>
      <c r="I295" s="280" t="s">
        <v>14128</v>
      </c>
      <c r="J295" s="280" t="s">
        <v>14129</v>
      </c>
      <c r="K295" s="283" t="s">
        <v>14130</v>
      </c>
      <c r="L295" s="292" t="s">
        <v>14131</v>
      </c>
      <c r="M295" s="280" t="s">
        <v>14132</v>
      </c>
    </row>
    <row r="296" spans="1:13" ht="82.8">
      <c r="A296" s="280" t="s">
        <v>14162</v>
      </c>
      <c r="B296" s="280" t="s">
        <v>1240</v>
      </c>
      <c r="C296" s="280" t="s">
        <v>1514</v>
      </c>
      <c r="D296" s="280" t="s">
        <v>14984</v>
      </c>
      <c r="E296" s="280" t="s">
        <v>14985</v>
      </c>
      <c r="F296" s="330" t="s">
        <v>15134</v>
      </c>
      <c r="G296" s="283" t="s">
        <v>15344</v>
      </c>
      <c r="H296" s="280" t="s">
        <v>14986</v>
      </c>
      <c r="I296" s="280" t="s">
        <v>14987</v>
      </c>
      <c r="J296" s="280" t="s">
        <v>15405</v>
      </c>
      <c r="K296" s="280" t="s">
        <v>14988</v>
      </c>
      <c r="L296" s="280" t="s">
        <v>14989</v>
      </c>
      <c r="M296" s="280" t="s">
        <v>14990</v>
      </c>
    </row>
    <row r="297" spans="1:13" ht="41.4">
      <c r="A297" s="280" t="s">
        <v>14163</v>
      </c>
      <c r="B297" s="280" t="s">
        <v>1240</v>
      </c>
      <c r="C297" s="178" t="s">
        <v>1515</v>
      </c>
      <c r="D297" s="280" t="s">
        <v>14991</v>
      </c>
      <c r="E297" s="280" t="s">
        <v>14992</v>
      </c>
      <c r="F297" s="330" t="s">
        <v>15135</v>
      </c>
      <c r="G297" s="283" t="s">
        <v>15345</v>
      </c>
      <c r="H297" s="280" t="s">
        <v>14993</v>
      </c>
      <c r="I297" s="280" t="s">
        <v>14994</v>
      </c>
      <c r="J297" s="280" t="s">
        <v>15406</v>
      </c>
      <c r="K297" s="280" t="s">
        <v>14995</v>
      </c>
      <c r="L297" s="280" t="s">
        <v>14996</v>
      </c>
      <c r="M297" s="280" t="s">
        <v>14997</v>
      </c>
    </row>
    <row r="298" spans="1:13" ht="41.4">
      <c r="A298" s="280" t="s">
        <v>14164</v>
      </c>
      <c r="B298" s="280" t="s">
        <v>1240</v>
      </c>
      <c r="C298" s="280" t="s">
        <v>14133</v>
      </c>
      <c r="D298" s="280" t="s">
        <v>14998</v>
      </c>
      <c r="E298" s="246" t="s">
        <v>14999</v>
      </c>
      <c r="F298" s="330" t="s">
        <v>15136</v>
      </c>
      <c r="G298" s="283" t="s">
        <v>15346</v>
      </c>
      <c r="H298" s="280" t="s">
        <v>15000</v>
      </c>
      <c r="I298" s="280" t="s">
        <v>15001</v>
      </c>
      <c r="J298" s="280" t="s">
        <v>15002</v>
      </c>
      <c r="K298" s="283" t="s">
        <v>15003</v>
      </c>
      <c r="L298" s="292" t="s">
        <v>15004</v>
      </c>
      <c r="M298" s="280" t="s">
        <v>15005</v>
      </c>
    </row>
    <row r="299" spans="1:13" ht="41.4">
      <c r="A299" s="280" t="s">
        <v>1240</v>
      </c>
      <c r="D299" s="280" t="s">
        <v>1485</v>
      </c>
      <c r="E299" s="246" t="s">
        <v>13493</v>
      </c>
      <c r="F299" s="330" t="s">
        <v>15137</v>
      </c>
      <c r="G299" s="283" t="s">
        <v>15347</v>
      </c>
      <c r="H299" s="280" t="s">
        <v>2098</v>
      </c>
      <c r="I299" s="280" t="s">
        <v>2099</v>
      </c>
      <c r="J299" s="280" t="s">
        <v>2100</v>
      </c>
      <c r="K299" s="283" t="s">
        <v>2101</v>
      </c>
      <c r="L299" s="292" t="s">
        <v>2102</v>
      </c>
      <c r="M299" s="280" t="s">
        <v>14920</v>
      </c>
    </row>
    <row r="300" spans="1:13" ht="41.4">
      <c r="A300" s="280" t="s">
        <v>14165</v>
      </c>
      <c r="B300" s="280" t="s">
        <v>1240</v>
      </c>
      <c r="C300" s="280" t="s">
        <v>1516</v>
      </c>
      <c r="D300" s="280" t="s">
        <v>15006</v>
      </c>
      <c r="E300" s="246" t="s">
        <v>15007</v>
      </c>
      <c r="F300" s="330" t="s">
        <v>15008</v>
      </c>
      <c r="G300" s="283" t="s">
        <v>15348</v>
      </c>
      <c r="H300" s="280" t="s">
        <v>15009</v>
      </c>
      <c r="I300" s="280" t="s">
        <v>15010</v>
      </c>
      <c r="J300" s="280" t="s">
        <v>15011</v>
      </c>
      <c r="K300" s="283" t="s">
        <v>15012</v>
      </c>
      <c r="L300" s="292" t="s">
        <v>15013</v>
      </c>
      <c r="M300" s="280" t="s">
        <v>15014</v>
      </c>
    </row>
    <row r="301" spans="1:13" ht="41.4">
      <c r="A301" s="280" t="s">
        <v>14166</v>
      </c>
      <c r="B301" s="280" t="s">
        <v>1240</v>
      </c>
      <c r="C301" s="280" t="s">
        <v>14177</v>
      </c>
      <c r="D301" s="280" t="s">
        <v>15015</v>
      </c>
      <c r="E301" s="246" t="s">
        <v>15016</v>
      </c>
      <c r="F301" s="330" t="s">
        <v>15138</v>
      </c>
      <c r="G301" s="283" t="s">
        <v>15349</v>
      </c>
      <c r="H301" s="280" t="s">
        <v>15017</v>
      </c>
      <c r="I301" s="280" t="s">
        <v>15018</v>
      </c>
      <c r="J301" s="280" t="s">
        <v>15019</v>
      </c>
      <c r="K301" s="283" t="s">
        <v>15020</v>
      </c>
      <c r="L301" s="292" t="s">
        <v>15021</v>
      </c>
      <c r="M301" s="280" t="s">
        <v>15022</v>
      </c>
    </row>
    <row r="302" spans="1:13" ht="41.4">
      <c r="A302" s="280" t="s">
        <v>14185</v>
      </c>
      <c r="B302" s="280" t="s">
        <v>1240</v>
      </c>
      <c r="C302" s="280" t="s">
        <v>1542</v>
      </c>
      <c r="D302" s="280" t="s">
        <v>15023</v>
      </c>
      <c r="E302" s="280" t="s">
        <v>15024</v>
      </c>
      <c r="F302" s="330" t="s">
        <v>15139</v>
      </c>
      <c r="G302" s="283" t="s">
        <v>15350</v>
      </c>
      <c r="H302" s="280" t="s">
        <v>15025</v>
      </c>
      <c r="I302" s="280" t="s">
        <v>15026</v>
      </c>
      <c r="J302" s="280" t="s">
        <v>15027</v>
      </c>
      <c r="K302" s="280" t="s">
        <v>15028</v>
      </c>
      <c r="L302" s="280" t="s">
        <v>15029</v>
      </c>
      <c r="M302" s="280" t="s">
        <v>15030</v>
      </c>
    </row>
    <row r="303" spans="1:13" ht="60" customHeight="1">
      <c r="A303" s="280" t="s">
        <v>14167</v>
      </c>
      <c r="B303" s="280" t="s">
        <v>1240</v>
      </c>
      <c r="C303" s="280" t="s">
        <v>1543</v>
      </c>
      <c r="D303" s="280" t="s">
        <v>1487</v>
      </c>
      <c r="E303" s="246" t="s">
        <v>13494</v>
      </c>
      <c r="F303" s="330" t="s">
        <v>2103</v>
      </c>
      <c r="G303" s="283" t="s">
        <v>15351</v>
      </c>
      <c r="H303" s="280" t="s">
        <v>2104</v>
      </c>
      <c r="I303" s="280" t="s">
        <v>2105</v>
      </c>
      <c r="J303" s="280" t="s">
        <v>2106</v>
      </c>
      <c r="K303" s="283" t="s">
        <v>2107</v>
      </c>
      <c r="L303" s="292" t="s">
        <v>2108</v>
      </c>
      <c r="M303" s="280" t="s">
        <v>14921</v>
      </c>
    </row>
    <row r="304" spans="1:13" ht="60" customHeight="1">
      <c r="A304" s="280" t="s">
        <v>1240</v>
      </c>
      <c r="D304" s="280" t="s">
        <v>1486</v>
      </c>
      <c r="E304" s="246" t="s">
        <v>13495</v>
      </c>
      <c r="F304" s="330" t="s">
        <v>2109</v>
      </c>
      <c r="G304" s="283" t="s">
        <v>2110</v>
      </c>
      <c r="H304" s="280" t="s">
        <v>2111</v>
      </c>
      <c r="I304" s="280" t="s">
        <v>2112</v>
      </c>
      <c r="J304" s="280" t="s">
        <v>15407</v>
      </c>
      <c r="K304" s="283" t="s">
        <v>2113</v>
      </c>
      <c r="L304" s="292" t="s">
        <v>2114</v>
      </c>
      <c r="M304" s="280" t="s">
        <v>14922</v>
      </c>
    </row>
    <row r="305" spans="1:13" ht="57" customHeight="1">
      <c r="A305" s="280" t="s">
        <v>14168</v>
      </c>
      <c r="B305" s="280" t="s">
        <v>1240</v>
      </c>
      <c r="C305" s="280" t="s">
        <v>1544</v>
      </c>
      <c r="D305" s="307" t="s">
        <v>13024</v>
      </c>
      <c r="E305" s="246" t="s">
        <v>13496</v>
      </c>
      <c r="F305" s="330" t="s">
        <v>2115</v>
      </c>
      <c r="G305" s="334" t="s">
        <v>2199</v>
      </c>
      <c r="H305" s="280" t="s">
        <v>2116</v>
      </c>
      <c r="I305" s="280" t="s">
        <v>2117</v>
      </c>
      <c r="J305" s="280" t="s">
        <v>15408</v>
      </c>
      <c r="K305" s="283" t="s">
        <v>2118</v>
      </c>
      <c r="L305" s="292" t="s">
        <v>2119</v>
      </c>
      <c r="M305" s="280" t="s">
        <v>14923</v>
      </c>
    </row>
    <row r="306" spans="1:13" ht="57" customHeight="1">
      <c r="A306" s="280" t="s">
        <v>14169</v>
      </c>
      <c r="B306" s="280" t="s">
        <v>1240</v>
      </c>
      <c r="C306" s="280" t="s">
        <v>14134</v>
      </c>
      <c r="D306" s="307" t="s">
        <v>13027</v>
      </c>
      <c r="E306" s="246" t="s">
        <v>13497</v>
      </c>
      <c r="F306" s="330" t="s">
        <v>2120</v>
      </c>
      <c r="G306" s="334" t="s">
        <v>2200</v>
      </c>
      <c r="H306" s="280" t="s">
        <v>2121</v>
      </c>
      <c r="I306" s="280" t="s">
        <v>2122</v>
      </c>
      <c r="J306" s="280" t="s">
        <v>15409</v>
      </c>
      <c r="K306" s="283" t="s">
        <v>2123</v>
      </c>
      <c r="L306" s="292" t="s">
        <v>2124</v>
      </c>
      <c r="M306" s="280" t="s">
        <v>14924</v>
      </c>
    </row>
    <row r="307" spans="1:13" ht="57" customHeight="1">
      <c r="A307" s="280" t="s">
        <v>14170</v>
      </c>
      <c r="B307" s="280" t="s">
        <v>1240</v>
      </c>
      <c r="C307" s="280" t="s">
        <v>14135</v>
      </c>
      <c r="D307" s="307" t="s">
        <v>13026</v>
      </c>
      <c r="E307" s="246" t="s">
        <v>13498</v>
      </c>
      <c r="F307" s="330" t="s">
        <v>2125</v>
      </c>
      <c r="G307" s="334" t="s">
        <v>2202</v>
      </c>
      <c r="H307" s="280" t="s">
        <v>2126</v>
      </c>
      <c r="I307" s="280" t="s">
        <v>2127</v>
      </c>
      <c r="J307" s="280" t="s">
        <v>15410</v>
      </c>
      <c r="K307" s="283" t="s">
        <v>2128</v>
      </c>
      <c r="L307" s="292" t="s">
        <v>2129</v>
      </c>
      <c r="M307" s="280" t="s">
        <v>14925</v>
      </c>
    </row>
    <row r="308" spans="1:13" ht="57" customHeight="1">
      <c r="A308" s="280" t="s">
        <v>14171</v>
      </c>
      <c r="B308" s="280" t="s">
        <v>1240</v>
      </c>
      <c r="C308" s="280" t="s">
        <v>14136</v>
      </c>
      <c r="D308" s="307" t="s">
        <v>13025</v>
      </c>
      <c r="E308" s="246" t="s">
        <v>13499</v>
      </c>
      <c r="F308" s="330" t="s">
        <v>2130</v>
      </c>
      <c r="G308" s="334"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20" t="s">
        <v>14469</v>
      </c>
      <c r="G309" s="334"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20" t="s">
        <v>14469</v>
      </c>
      <c r="G310" s="334"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20" t="s">
        <v>14469</v>
      </c>
      <c r="G311" s="334"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20" t="s">
        <v>14469</v>
      </c>
      <c r="G312" s="334"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30"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30" t="s">
        <v>14471</v>
      </c>
      <c r="G314" s="283" t="s">
        <v>563</v>
      </c>
      <c r="H314" s="280" t="s">
        <v>390</v>
      </c>
      <c r="I314" s="280" t="s">
        <v>260</v>
      </c>
      <c r="J314" s="238" t="s">
        <v>1163</v>
      </c>
      <c r="K314" s="274" t="s">
        <v>118</v>
      </c>
      <c r="L314" s="308" t="s">
        <v>74</v>
      </c>
      <c r="M314" s="238" t="s">
        <v>14929</v>
      </c>
    </row>
    <row r="315" spans="1:13">
      <c r="A315" s="280" t="str">
        <f>B315&amp;C315</f>
        <v>Product ListC5</v>
      </c>
      <c r="B315" s="280" t="s">
        <v>1300</v>
      </c>
      <c r="C315" s="280" t="s">
        <v>972</v>
      </c>
      <c r="D315" s="238" t="s">
        <v>504</v>
      </c>
      <c r="E315" s="246" t="s">
        <v>13503</v>
      </c>
      <c r="F315" s="330" t="s">
        <v>14472</v>
      </c>
      <c r="G315" s="283" t="s">
        <v>564</v>
      </c>
      <c r="H315" s="280" t="s">
        <v>391</v>
      </c>
      <c r="I315" s="280" t="s">
        <v>261</v>
      </c>
      <c r="J315" s="238" t="s">
        <v>939</v>
      </c>
      <c r="K315" s="274" t="s">
        <v>119</v>
      </c>
      <c r="L315" s="308" t="s">
        <v>75</v>
      </c>
      <c r="M315" s="238" t="s">
        <v>14930</v>
      </c>
    </row>
    <row r="316" spans="1:13">
      <c r="A316" s="280" t="str">
        <f>B316&amp;C316</f>
        <v>Product ListD5</v>
      </c>
      <c r="B316" s="280" t="s">
        <v>1300</v>
      </c>
      <c r="C316" s="280" t="s">
        <v>1301</v>
      </c>
      <c r="D316" s="238" t="s">
        <v>835</v>
      </c>
      <c r="E316" s="275" t="s">
        <v>863</v>
      </c>
      <c r="F316" s="330" t="s">
        <v>14425</v>
      </c>
      <c r="G316" s="283" t="s">
        <v>923</v>
      </c>
      <c r="H316" s="280" t="s">
        <v>924</v>
      </c>
      <c r="I316" s="280" t="s">
        <v>925</v>
      </c>
      <c r="J316" s="238" t="s">
        <v>1027</v>
      </c>
      <c r="K316" s="274" t="s">
        <v>926</v>
      </c>
      <c r="L316" s="308" t="s">
        <v>451</v>
      </c>
      <c r="M316" s="238" t="s">
        <v>14836</v>
      </c>
    </row>
    <row r="317" spans="1:13" ht="27.6">
      <c r="A317" s="280" t="str">
        <f>B317&amp;C317</f>
        <v>GeneralCpy</v>
      </c>
      <c r="B317" s="280" t="s">
        <v>486</v>
      </c>
      <c r="C317" s="280" t="s">
        <v>487</v>
      </c>
      <c r="D317" s="280" t="s">
        <v>15623</v>
      </c>
      <c r="E317" s="246" t="s">
        <v>15643</v>
      </c>
      <c r="F317" s="330"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82.8">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7.6">
      <c r="A321" s="280" t="s">
        <v>835</v>
      </c>
      <c r="D321" s="280" t="s">
        <v>305</v>
      </c>
      <c r="E321" s="246" t="s">
        <v>13504</v>
      </c>
      <c r="F321" s="280" t="s">
        <v>313</v>
      </c>
      <c r="G321" s="345" t="s">
        <v>310</v>
      </c>
      <c r="H321" s="280" t="s">
        <v>131</v>
      </c>
      <c r="I321" s="280" t="s">
        <v>262</v>
      </c>
      <c r="J321" s="280" t="s">
        <v>1357</v>
      </c>
      <c r="K321" s="283" t="s">
        <v>124</v>
      </c>
      <c r="L321" s="309" t="s">
        <v>308</v>
      </c>
      <c r="M321" s="280" t="s">
        <v>14932</v>
      </c>
    </row>
    <row r="322" spans="1:13" ht="27.6">
      <c r="A322" s="280" t="s">
        <v>835</v>
      </c>
      <c r="D322" s="280" t="s">
        <v>306</v>
      </c>
      <c r="E322" s="246" t="s">
        <v>13505</v>
      </c>
      <c r="F322" s="280" t="s">
        <v>314</v>
      </c>
      <c r="G322" s="345" t="s">
        <v>15353</v>
      </c>
      <c r="H322" s="280" t="s">
        <v>132</v>
      </c>
      <c r="I322" s="280" t="s">
        <v>263</v>
      </c>
      <c r="J322" s="280" t="s">
        <v>1373</v>
      </c>
      <c r="K322" s="283" t="s">
        <v>125</v>
      </c>
      <c r="L322" s="309" t="s">
        <v>307</v>
      </c>
      <c r="M322" s="280" t="s">
        <v>14933</v>
      </c>
    </row>
    <row r="323" spans="1:13" ht="69">
      <c r="A323" s="280" t="s">
        <v>835</v>
      </c>
      <c r="D323" s="280" t="s">
        <v>302</v>
      </c>
      <c r="E323" s="246" t="s">
        <v>14281</v>
      </c>
      <c r="F323" s="280" t="s">
        <v>14474</v>
      </c>
      <c r="G323" s="345" t="s">
        <v>311</v>
      </c>
      <c r="H323" s="280" t="s">
        <v>133</v>
      </c>
      <c r="I323" s="280" t="s">
        <v>264</v>
      </c>
      <c r="J323" s="280" t="s">
        <v>303</v>
      </c>
      <c r="K323" s="283" t="s">
        <v>14695</v>
      </c>
      <c r="L323" s="309" t="s">
        <v>304</v>
      </c>
      <c r="M323" s="280" t="s">
        <v>14934</v>
      </c>
    </row>
    <row r="324" spans="1:13" ht="27.6">
      <c r="A324" s="280" t="s">
        <v>835</v>
      </c>
      <c r="D324" s="280" t="s">
        <v>296</v>
      </c>
      <c r="E324" s="246" t="s">
        <v>13506</v>
      </c>
      <c r="F324" s="280" t="s">
        <v>315</v>
      </c>
      <c r="G324" s="345" t="s">
        <v>297</v>
      </c>
      <c r="H324" s="280" t="s">
        <v>134</v>
      </c>
      <c r="I324" s="280" t="s">
        <v>265</v>
      </c>
      <c r="J324" s="280" t="s">
        <v>1358</v>
      </c>
      <c r="K324" s="283" t="s">
        <v>128</v>
      </c>
      <c r="L324" s="309" t="s">
        <v>309</v>
      </c>
      <c r="M324" s="280" t="s">
        <v>14935</v>
      </c>
    </row>
    <row r="325" spans="1:13" ht="27.6">
      <c r="A325" s="280" t="s">
        <v>835</v>
      </c>
      <c r="D325" s="280" t="s">
        <v>298</v>
      </c>
      <c r="E325" s="246" t="s">
        <v>13507</v>
      </c>
      <c r="F325" s="280" t="s">
        <v>316</v>
      </c>
      <c r="G325" s="345" t="s">
        <v>299</v>
      </c>
      <c r="H325" s="280" t="s">
        <v>135</v>
      </c>
      <c r="I325" s="280" t="s">
        <v>266</v>
      </c>
      <c r="J325" s="280" t="s">
        <v>1359</v>
      </c>
      <c r="K325" s="283" t="s">
        <v>126</v>
      </c>
      <c r="L325" s="309" t="s">
        <v>300</v>
      </c>
      <c r="M325" s="280" t="s">
        <v>14936</v>
      </c>
    </row>
    <row r="326" spans="1:13" ht="69">
      <c r="A326" s="280" t="s">
        <v>835</v>
      </c>
      <c r="D326" s="280" t="s">
        <v>301</v>
      </c>
      <c r="E326" s="246" t="s">
        <v>13508</v>
      </c>
      <c r="F326" s="318" t="s">
        <v>15111</v>
      </c>
      <c r="G326" s="345"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99"/>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90625" defaultRowHeight="12.6"/>
  <cols>
    <col min="1" max="1" width="20.6328125" style="73" customWidth="1"/>
    <col min="2" max="2" width="57.08984375" style="73" customWidth="1"/>
    <col min="3" max="16384" width="8.9062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DED92162-BEFF-4E8D-BC99-46C73A86304E}"/>
    </customSheetView>
  </customSheetViews>
  <phoneticPr fontId="99"/>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baseColWidth="10" defaultColWidth="8.90625" defaultRowHeight="12.6"/>
  <cols>
    <col min="1" max="1" width="11.08984375" customWidth="1"/>
    <col min="2" max="2" width="25.726562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658F6FFC-2983-471B-AD94-E9709766220E}"/>
    </customSheetView>
  </customSheetViews>
  <phoneticPr fontId="99"/>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Daidis Petra</cp:lastModifiedBy>
  <cp:lastPrinted>2022-07-25T01:58:14Z</cp:lastPrinted>
  <dcterms:created xsi:type="dcterms:W3CDTF">2010-06-21T21:00:23Z</dcterms:created>
  <dcterms:modified xsi:type="dcterms:W3CDTF">2022-09-20T12:57:55Z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